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2" i="1" l="1"/>
  <c r="Q23" i="1"/>
  <c r="M49" i="1"/>
  <c r="H49" i="1"/>
  <c r="Q45" i="1"/>
  <c r="N45" i="1" s="1"/>
  <c r="L45" i="1"/>
  <c r="I45" i="1" s="1"/>
  <c r="J45" i="1"/>
  <c r="G45" i="1"/>
  <c r="D45" i="1" s="1"/>
  <c r="E45" i="1"/>
  <c r="R44" i="1"/>
  <c r="Q44" i="1" s="1"/>
  <c r="P44" i="1"/>
  <c r="L44" i="1"/>
  <c r="J44" i="1" s="1"/>
  <c r="K44" i="1"/>
  <c r="I44" i="1"/>
  <c r="G44" i="1"/>
  <c r="E44" i="1" s="1"/>
  <c r="F44" i="1"/>
  <c r="D44" i="1"/>
  <c r="R43" i="1"/>
  <c r="Q43" i="1"/>
  <c r="L43" i="1"/>
  <c r="G43" i="1"/>
  <c r="Q42" i="1"/>
  <c r="L42" i="1"/>
  <c r="G42" i="1"/>
  <c r="R41" i="1"/>
  <c r="N41" i="1" s="1"/>
  <c r="P41" i="1"/>
  <c r="O41" i="1"/>
  <c r="K41" i="1"/>
  <c r="J41" i="1"/>
  <c r="I41" i="1"/>
  <c r="F41" i="1"/>
  <c r="E41" i="1"/>
  <c r="D41" i="1"/>
  <c r="Q40" i="1"/>
  <c r="N40" i="1" s="1"/>
  <c r="O40" i="1"/>
  <c r="L40" i="1"/>
  <c r="I40" i="1" s="1"/>
  <c r="J40" i="1"/>
  <c r="G40" i="1"/>
  <c r="D40" i="1" s="1"/>
  <c r="E40" i="1"/>
  <c r="Q39" i="1"/>
  <c r="N39" i="1" s="1"/>
  <c r="O39" i="1"/>
  <c r="L39" i="1"/>
  <c r="I39" i="1" s="1"/>
  <c r="J39" i="1"/>
  <c r="G39" i="1"/>
  <c r="D39" i="1" s="1"/>
  <c r="E39" i="1"/>
  <c r="R38" i="1"/>
  <c r="Q38" i="1" s="1"/>
  <c r="P38" i="1"/>
  <c r="L38" i="1"/>
  <c r="J38" i="1" s="1"/>
  <c r="K38" i="1"/>
  <c r="I38" i="1"/>
  <c r="G38" i="1"/>
  <c r="E38" i="1" s="1"/>
  <c r="F38" i="1"/>
  <c r="D38" i="1"/>
  <c r="Q37" i="1"/>
  <c r="O37" i="1" s="1"/>
  <c r="P37" i="1"/>
  <c r="N37" i="1"/>
  <c r="L37" i="1"/>
  <c r="J37" i="1" s="1"/>
  <c r="K37" i="1"/>
  <c r="I37" i="1"/>
  <c r="G37" i="1"/>
  <c r="E37" i="1" s="1"/>
  <c r="F37" i="1"/>
  <c r="D37" i="1"/>
  <c r="P36" i="1"/>
  <c r="O36" i="1"/>
  <c r="N36" i="1"/>
  <c r="M36" i="1"/>
  <c r="L36" i="1" s="1"/>
  <c r="J36" i="1" s="1"/>
  <c r="K36" i="1"/>
  <c r="H36" i="1"/>
  <c r="G36" i="1" s="1"/>
  <c r="E36" i="1" s="1"/>
  <c r="D36" i="1"/>
  <c r="Q35" i="1"/>
  <c r="O35" i="1" s="1"/>
  <c r="P35" i="1"/>
  <c r="N35" i="1"/>
  <c r="M35" i="1"/>
  <c r="L35" i="1"/>
  <c r="H35" i="1"/>
  <c r="G35" i="1"/>
  <c r="Q34" i="1"/>
  <c r="O34" i="1" s="1"/>
  <c r="P34" i="1"/>
  <c r="N34" i="1"/>
  <c r="L34" i="1"/>
  <c r="J34" i="1" s="1"/>
  <c r="K34" i="1"/>
  <c r="I34" i="1"/>
  <c r="G34" i="1"/>
  <c r="E34" i="1" s="1"/>
  <c r="F34" i="1"/>
  <c r="D34" i="1"/>
  <c r="P33" i="1"/>
  <c r="O33" i="1"/>
  <c r="K33" i="1"/>
  <c r="J33" i="1"/>
  <c r="G33" i="1"/>
  <c r="E33" i="1" s="1"/>
  <c r="F33" i="1"/>
  <c r="D33" i="1"/>
  <c r="Q32" i="1"/>
  <c r="O32" i="1" s="1"/>
  <c r="P32" i="1"/>
  <c r="N32" i="1"/>
  <c r="J32" i="1"/>
  <c r="K32" i="1"/>
  <c r="I32" i="1"/>
  <c r="G32" i="1"/>
  <c r="E32" i="1" s="1"/>
  <c r="F32" i="1"/>
  <c r="D32" i="1"/>
  <c r="Q31" i="1"/>
  <c r="O31" i="1" s="1"/>
  <c r="P31" i="1"/>
  <c r="N31" i="1"/>
  <c r="L31" i="1"/>
  <c r="J31" i="1" s="1"/>
  <c r="K31" i="1"/>
  <c r="I31" i="1"/>
  <c r="G31" i="1"/>
  <c r="E31" i="1" s="1"/>
  <c r="F31" i="1"/>
  <c r="D31" i="1"/>
  <c r="R30" i="1"/>
  <c r="Q30" i="1"/>
  <c r="L30" i="1"/>
  <c r="G30" i="1"/>
  <c r="R29" i="1"/>
  <c r="L29" i="1"/>
  <c r="K29" i="1"/>
  <c r="J29" i="1"/>
  <c r="I29" i="1"/>
  <c r="G29" i="1"/>
  <c r="F29" i="1"/>
  <c r="E29" i="1"/>
  <c r="D29" i="1"/>
  <c r="N28" i="1"/>
  <c r="L28" i="1"/>
  <c r="J28" i="1"/>
  <c r="D28" i="1"/>
  <c r="Q27" i="1"/>
  <c r="P27" i="1"/>
  <c r="O27" i="1"/>
  <c r="N27" i="1"/>
  <c r="L27" i="1"/>
  <c r="K27" i="1"/>
  <c r="J27" i="1"/>
  <c r="I27" i="1"/>
  <c r="G27" i="1"/>
  <c r="F27" i="1"/>
  <c r="E27" i="1"/>
  <c r="D27" i="1"/>
  <c r="P26" i="1"/>
  <c r="O26" i="1"/>
  <c r="N26" i="1"/>
  <c r="M26" i="1"/>
  <c r="I26" i="1" s="1"/>
  <c r="K26" i="1"/>
  <c r="J26" i="1"/>
  <c r="F26" i="1"/>
  <c r="E26" i="1"/>
  <c r="D26" i="1"/>
  <c r="Q25" i="1"/>
  <c r="O25" i="1" s="1"/>
  <c r="P25" i="1"/>
  <c r="N25" i="1"/>
  <c r="L25" i="1"/>
  <c r="J25" i="1" s="1"/>
  <c r="K25" i="1"/>
  <c r="I25" i="1"/>
  <c r="H25" i="1"/>
  <c r="G25" i="1"/>
  <c r="Q24" i="1"/>
  <c r="L24" i="1"/>
  <c r="H24" i="1"/>
  <c r="G24" i="1" s="1"/>
  <c r="P23" i="1"/>
  <c r="O23" i="1"/>
  <c r="N23" i="1"/>
  <c r="L23" i="1"/>
  <c r="K23" i="1"/>
  <c r="J23" i="1"/>
  <c r="I23" i="1"/>
  <c r="H23" i="1"/>
  <c r="G23" i="1"/>
  <c r="Q22" i="1"/>
  <c r="O22" i="1"/>
  <c r="L22" i="1"/>
  <c r="G22" i="1"/>
  <c r="E22" i="1"/>
  <c r="N21" i="1"/>
  <c r="L21" i="1"/>
  <c r="J21" i="1" s="1"/>
  <c r="K21" i="1"/>
  <c r="I21" i="1"/>
  <c r="H21" i="1"/>
  <c r="G21" i="1"/>
  <c r="E21" i="1" s="1"/>
  <c r="R20" i="1"/>
  <c r="Q20" i="1" s="1"/>
  <c r="O20" i="1" s="1"/>
  <c r="P20" i="1"/>
  <c r="N20" i="1"/>
  <c r="L20" i="1"/>
  <c r="K20" i="1"/>
  <c r="J20" i="1"/>
  <c r="I20" i="1"/>
  <c r="H20" i="1"/>
  <c r="G20" i="1"/>
  <c r="E20" i="1"/>
  <c r="Q19" i="1"/>
  <c r="O19" i="1" s="1"/>
  <c r="L19" i="1"/>
  <c r="K19" i="1" s="1"/>
  <c r="J19" i="1"/>
  <c r="H19" i="1"/>
  <c r="G19" i="1"/>
  <c r="F19" i="1" s="1"/>
  <c r="E19" i="1"/>
  <c r="Q18" i="1"/>
  <c r="O18" i="1" s="1"/>
  <c r="P18" i="1"/>
  <c r="L18" i="1"/>
  <c r="K18" i="1" s="1"/>
  <c r="J18" i="1"/>
  <c r="H18" i="1"/>
  <c r="G18" i="1"/>
  <c r="F18" i="1" s="1"/>
  <c r="P17" i="1"/>
  <c r="O17" i="1"/>
  <c r="N17" i="1"/>
  <c r="L17" i="1"/>
  <c r="J17" i="1"/>
  <c r="H17" i="1"/>
  <c r="G17" i="1" s="1"/>
  <c r="E17" i="1" s="1"/>
  <c r="D17" i="1"/>
  <c r="Q16" i="1"/>
  <c r="P16" i="1"/>
  <c r="O16" i="1"/>
  <c r="M16" i="1"/>
  <c r="L16" i="1" s="1"/>
  <c r="J16" i="1" s="1"/>
  <c r="K16" i="1"/>
  <c r="H16" i="1"/>
  <c r="G16" i="1" s="1"/>
  <c r="E16" i="1" s="1"/>
  <c r="Q15" i="1"/>
  <c r="P15" i="1" s="1"/>
  <c r="O15" i="1"/>
  <c r="M15" i="1"/>
  <c r="L15" i="1"/>
  <c r="H15" i="1"/>
  <c r="G15" i="1"/>
  <c r="F15" i="1" s="1"/>
  <c r="E15" i="1"/>
  <c r="R14" i="1"/>
  <c r="Q14" i="1"/>
  <c r="O14" i="1"/>
  <c r="K14" i="1"/>
  <c r="J14" i="1"/>
  <c r="I14" i="1"/>
  <c r="H14" i="1"/>
  <c r="F14" i="1"/>
  <c r="E14" i="1"/>
  <c r="D14" i="1"/>
  <c r="Q13" i="1"/>
  <c r="O13" i="1" s="1"/>
  <c r="P13" i="1"/>
  <c r="L13" i="1"/>
  <c r="J13" i="1" s="1"/>
  <c r="H13" i="1"/>
  <c r="D13" i="1"/>
  <c r="Q12" i="1"/>
  <c r="O12" i="1" s="1"/>
  <c r="P12" i="1"/>
  <c r="L12" i="1"/>
  <c r="K12" i="1" s="1"/>
  <c r="H12" i="1"/>
  <c r="H47" i="1" s="1"/>
  <c r="D12" i="1"/>
  <c r="L11" i="1"/>
  <c r="K11" i="1" s="1"/>
  <c r="I11" i="1"/>
  <c r="G11" i="1"/>
  <c r="F11" i="1" s="1"/>
  <c r="D11" i="1"/>
  <c r="L10" i="1"/>
  <c r="K10" i="1" s="1"/>
  <c r="I10" i="1"/>
  <c r="G10" i="1"/>
  <c r="F10" i="1" s="1"/>
  <c r="D10" i="1"/>
  <c r="O9" i="1"/>
  <c r="L9" i="1"/>
  <c r="K9" i="1"/>
  <c r="J9" i="1"/>
  <c r="I9" i="1"/>
  <c r="G9" i="1"/>
  <c r="F9" i="1"/>
  <c r="E9" i="1"/>
  <c r="D9" i="1"/>
  <c r="K8" i="1"/>
  <c r="J8" i="1"/>
  <c r="G8" i="1"/>
  <c r="F8" i="1" s="1"/>
  <c r="L7" i="1"/>
  <c r="I7" i="1" s="1"/>
  <c r="K7" i="1"/>
  <c r="J7" i="1"/>
  <c r="G7" i="1"/>
  <c r="D7" i="1" s="1"/>
  <c r="F7" i="1"/>
  <c r="E7" i="1"/>
  <c r="R6" i="1"/>
  <c r="Q6" i="1"/>
  <c r="P6" i="1" s="1"/>
  <c r="M6" i="1"/>
  <c r="G6" i="1"/>
  <c r="F6" i="1" s="1"/>
  <c r="D6" i="1"/>
  <c r="Q5" i="1"/>
  <c r="P5" i="1" s="1"/>
  <c r="N5" i="1"/>
  <c r="L5" i="1"/>
  <c r="K5" i="1" s="1"/>
  <c r="I5" i="1"/>
  <c r="G5" i="1"/>
  <c r="F5" i="1" s="1"/>
  <c r="D5" i="1"/>
  <c r="M50" i="1" l="1"/>
  <c r="M46" i="1"/>
  <c r="M47" i="1"/>
  <c r="D23" i="1"/>
  <c r="F23" i="1"/>
  <c r="K24" i="1"/>
  <c r="J24" i="1"/>
  <c r="I24" i="1"/>
  <c r="F42" i="1"/>
  <c r="E42" i="1"/>
  <c r="D42" i="1"/>
  <c r="K43" i="1"/>
  <c r="J43" i="1"/>
  <c r="I43" i="1"/>
  <c r="E5" i="1"/>
  <c r="J5" i="1"/>
  <c r="O5" i="1"/>
  <c r="E6" i="1"/>
  <c r="N6" i="1"/>
  <c r="R46" i="1"/>
  <c r="R47" i="1"/>
  <c r="E10" i="1"/>
  <c r="J10" i="1"/>
  <c r="E11" i="1"/>
  <c r="J11" i="1"/>
  <c r="I12" i="1"/>
  <c r="G13" i="1"/>
  <c r="D20" i="1"/>
  <c r="D46" i="1" s="1"/>
  <c r="D47" i="1" s="1"/>
  <c r="F20" i="1"/>
  <c r="P24" i="1"/>
  <c r="O24" i="1"/>
  <c r="N24" i="1"/>
  <c r="L49" i="1"/>
  <c r="F30" i="1"/>
  <c r="E30" i="1"/>
  <c r="D30" i="1"/>
  <c r="K35" i="1"/>
  <c r="J35" i="1"/>
  <c r="K42" i="1"/>
  <c r="J42" i="1"/>
  <c r="I42" i="1"/>
  <c r="P43" i="1"/>
  <c r="O43" i="1"/>
  <c r="N43" i="1"/>
  <c r="L47" i="1"/>
  <c r="O6" i="1"/>
  <c r="E8" i="1"/>
  <c r="J12" i="1"/>
  <c r="P14" i="1"/>
  <c r="P50" i="1" s="1"/>
  <c r="N14" i="1"/>
  <c r="I17" i="1"/>
  <c r="K17" i="1"/>
  <c r="E18" i="1"/>
  <c r="D22" i="1"/>
  <c r="F22" i="1"/>
  <c r="N22" i="1"/>
  <c r="P22" i="1"/>
  <c r="D24" i="1"/>
  <c r="F25" i="1"/>
  <c r="E25" i="1"/>
  <c r="D25" i="1"/>
  <c r="K30" i="1"/>
  <c r="J30" i="1"/>
  <c r="I30" i="1"/>
  <c r="I49" i="1" s="1"/>
  <c r="O38" i="1"/>
  <c r="N38" i="1"/>
  <c r="P42" i="1"/>
  <c r="O42" i="1"/>
  <c r="N42" i="1"/>
  <c r="O44" i="1"/>
  <c r="N44" i="1"/>
  <c r="D50" i="1"/>
  <c r="H50" i="1"/>
  <c r="H46" i="1"/>
  <c r="I22" i="1"/>
  <c r="K22" i="1"/>
  <c r="J49" i="1"/>
  <c r="Q29" i="1"/>
  <c r="N29" i="1" s="1"/>
  <c r="N49" i="1" s="1"/>
  <c r="R49" i="1"/>
  <c r="G50" i="1"/>
  <c r="L50" i="1"/>
  <c r="Q50" i="1"/>
  <c r="Q46" i="1"/>
  <c r="Q47" i="1"/>
  <c r="L6" i="1"/>
  <c r="G12" i="1"/>
  <c r="I13" i="1"/>
  <c r="K13" i="1"/>
  <c r="F16" i="1"/>
  <c r="F17" i="1"/>
  <c r="N19" i="1"/>
  <c r="N50" i="1" s="1"/>
  <c r="P19" i="1"/>
  <c r="F21" i="1"/>
  <c r="D21" i="1"/>
  <c r="J22" i="1"/>
  <c r="E23" i="1"/>
  <c r="F24" i="1"/>
  <c r="E24" i="1"/>
  <c r="D49" i="1"/>
  <c r="G28" i="1"/>
  <c r="P30" i="1"/>
  <c r="O30" i="1"/>
  <c r="N30" i="1"/>
  <c r="F35" i="1"/>
  <c r="E35" i="1"/>
  <c r="F36" i="1"/>
  <c r="F43" i="1"/>
  <c r="E43" i="1"/>
  <c r="D43" i="1"/>
  <c r="R50" i="1"/>
  <c r="K28" i="1"/>
  <c r="K49" i="1" s="1"/>
  <c r="F39" i="1"/>
  <c r="K39" i="1"/>
  <c r="P39" i="1"/>
  <c r="F40" i="1"/>
  <c r="K40" i="1"/>
  <c r="P40" i="1"/>
  <c r="F45" i="1"/>
  <c r="K45" i="1"/>
  <c r="N46" i="1" l="1"/>
  <c r="O50" i="1"/>
  <c r="F12" i="1"/>
  <c r="E12" i="1"/>
  <c r="G47" i="1"/>
  <c r="N47" i="1"/>
  <c r="J46" i="1"/>
  <c r="J50" i="1"/>
  <c r="I6" i="1"/>
  <c r="K6" i="1"/>
  <c r="J6" i="1"/>
  <c r="J47" i="1" s="1"/>
  <c r="L46" i="1"/>
  <c r="E13" i="1"/>
  <c r="E50" i="1" s="1"/>
  <c r="F13" i="1"/>
  <c r="G49" i="1"/>
  <c r="F28" i="1"/>
  <c r="F49" i="1" s="1"/>
  <c r="E28" i="1"/>
  <c r="E49" i="1" s="1"/>
  <c r="P29" i="1"/>
  <c r="P49" i="1" s="1"/>
  <c r="O29" i="1"/>
  <c r="O47" i="1" s="1"/>
  <c r="Q49" i="1"/>
  <c r="G46" i="1"/>
  <c r="E47" i="1" l="1"/>
  <c r="K47" i="1"/>
  <c r="K46" i="1"/>
  <c r="K50" i="1"/>
  <c r="F46" i="1"/>
  <c r="F47" i="1"/>
  <c r="F50" i="1"/>
  <c r="E46" i="1"/>
  <c r="O49" i="1"/>
  <c r="I46" i="1"/>
  <c r="I47" i="1"/>
  <c r="I50" i="1"/>
  <c r="O46" i="1"/>
  <c r="P47" i="1"/>
  <c r="P46" i="1"/>
</calcChain>
</file>

<file path=xl/sharedStrings.xml><?xml version="1.0" encoding="utf-8"?>
<sst xmlns="http://schemas.openxmlformats.org/spreadsheetml/2006/main" count="89" uniqueCount="50">
  <si>
    <t>zadanie</t>
  </si>
  <si>
    <t>WKŁAD WŁASNY (10,01%)</t>
  </si>
  <si>
    <t>DOFINANSOWANIE</t>
  </si>
  <si>
    <t>RAZEM</t>
  </si>
  <si>
    <t>RAZEM   2020</t>
  </si>
  <si>
    <t>RAZEM   2021</t>
  </si>
  <si>
    <t>UE (94,46%)</t>
  </si>
  <si>
    <t>KRAJOWE (5,54%)</t>
  </si>
  <si>
    <t>studia podyplomowe</t>
  </si>
  <si>
    <t>zlecone</t>
  </si>
  <si>
    <t>kursy dla nauczycieli (zlecone)</t>
  </si>
  <si>
    <t>kursy dla uczniów branża turystyczna (zlecone)</t>
  </si>
  <si>
    <t>kursy dla uczniów branża budowlana (zlecone)</t>
  </si>
  <si>
    <t>kursy dla uczniów spoza branzy (zlecone)</t>
  </si>
  <si>
    <t>kursy dla uczniów interdyscyplinarne (zlecone)</t>
  </si>
  <si>
    <t>kursy dla uczniów branża mech - górnicza (wewnętrzne)</t>
  </si>
  <si>
    <t>wynagrodzenie</t>
  </si>
  <si>
    <t>materiały dydaktyczne, w tym zaświadczenia</t>
  </si>
  <si>
    <t>kursy dla uczniów branża turystyczna (wewnetrzne)</t>
  </si>
  <si>
    <t>kursy dla uczniów branża budowlana (wewnętrzne)</t>
  </si>
  <si>
    <t>kursy dla uczniów spoza branzy (wewnetrzne)</t>
  </si>
  <si>
    <t>zajęcia wyrównawcze dla uczniów (wewnetrzne)</t>
  </si>
  <si>
    <t>doradztwo edukacyjno - zawodowe (wewnetrzne)</t>
  </si>
  <si>
    <t>staże zawodowe</t>
  </si>
  <si>
    <t>wynagrodzenie dla ucznia za udział w stażu</t>
  </si>
  <si>
    <t>wynagrodzenie opiekuna stazysty</t>
  </si>
  <si>
    <t>wyposażenie stanowiska, koszty związane z odbywaniem stażu</t>
  </si>
  <si>
    <t xml:space="preserve">stypendia </t>
  </si>
  <si>
    <t>wizyty zawodoznawcze (zlecone)</t>
  </si>
  <si>
    <t>wyposażenie (ZSTiO, ZSTI)</t>
  </si>
  <si>
    <t>powiat</t>
  </si>
  <si>
    <t>wyposażenie ZS1</t>
  </si>
  <si>
    <t>wyposażenie ZSP</t>
  </si>
  <si>
    <t>adaptacja pracowni ZSP</t>
  </si>
  <si>
    <t>adaptacja pracowni ZS 1</t>
  </si>
  <si>
    <t>kursy dla nauczycieli (zlecone) - SOSW</t>
  </si>
  <si>
    <t>kursy dla uczniów branża turystyczna (zlecone) - SOSW</t>
  </si>
  <si>
    <t>warsztaty i zajęcia wyrównawcze dla uczniów (wewnętrzne) - SOSW</t>
  </si>
  <si>
    <t>doradztwo edukacyjno - zawodowe - SOSW</t>
  </si>
  <si>
    <t>praktyki zawodowe - SOSW</t>
  </si>
  <si>
    <t>stypendium</t>
  </si>
  <si>
    <t>wizyty zawodoznawcze - SOSW</t>
  </si>
  <si>
    <t>wyposażenie SOSW</t>
  </si>
  <si>
    <t>adaptacja pracowni - SOSW</t>
  </si>
  <si>
    <t>pośrednie</t>
  </si>
  <si>
    <t>bezpośrednie</t>
  </si>
  <si>
    <t>razem</t>
  </si>
  <si>
    <t>Powiat Limanowski</t>
  </si>
  <si>
    <t>ZSTiO</t>
  </si>
  <si>
    <r>
      <rPr>
        <b/>
        <sz val="14"/>
        <color theme="1"/>
        <rFont val="Calibri"/>
        <family val="2"/>
        <charset val="238"/>
        <scheme val="minor"/>
      </rPr>
      <t>kursy dla uczniów branża mech - górnicza (zlecone</t>
    </r>
    <r>
      <rPr>
        <b/>
        <sz val="10"/>
        <color theme="1"/>
        <rFont val="Calibri"/>
        <family val="2"/>
        <charset val="238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</si>
</sst>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8" tint="-0.49998474074526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0000CC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theme="4"/>
      <name val="Calibri"/>
      <family val="2"/>
      <charset val="238"/>
      <scheme val="minor"/>
    </font>
    <font>
      <b/>
      <sz val="10"/>
      <color rgb="FFC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7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theme="7"/>
      </left>
      <right/>
      <top style="thick">
        <color theme="7"/>
      </top>
      <bottom/>
      <diagonal/>
    </border>
    <border>
      <left style="medium">
        <color indexed="64"/>
      </left>
      <right/>
      <top style="thick">
        <color theme="7"/>
      </top>
      <bottom/>
      <diagonal/>
    </border>
    <border>
      <left/>
      <right style="medium">
        <color indexed="64"/>
      </right>
      <top style="thick">
        <color theme="7"/>
      </top>
      <bottom/>
      <diagonal/>
    </border>
    <border>
      <left style="medium">
        <color indexed="64"/>
      </left>
      <right style="medium">
        <color indexed="64"/>
      </right>
      <top style="thick">
        <color theme="7"/>
      </top>
      <bottom/>
      <diagonal/>
    </border>
    <border>
      <left/>
      <right style="thick">
        <color theme="7"/>
      </right>
      <top style="thick">
        <color theme="7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theme="7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theme="7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theme="7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theme="7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theme="7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ck">
        <color theme="7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theme="7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ck">
        <color theme="7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theme="7"/>
      </left>
      <right/>
      <top/>
      <bottom style="thick">
        <color theme="7"/>
      </bottom>
      <diagonal/>
    </border>
    <border>
      <left/>
      <right/>
      <top/>
      <bottom style="thick">
        <color theme="7"/>
      </bottom>
      <diagonal/>
    </border>
    <border>
      <left/>
      <right style="thick">
        <color theme="7"/>
      </right>
      <top/>
      <bottom style="thick">
        <color theme="7"/>
      </bottom>
      <diagonal/>
    </border>
  </borders>
  <cellStyleXfs count="1">
    <xf numFmtId="0" fontId="0" fillId="0" borderId="0"/>
  </cellStyleXfs>
  <cellXfs count="24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0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0" fontId="2" fillId="2" borderId="8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0" fontId="2" fillId="3" borderId="8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0" fontId="2" fillId="0" borderId="12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10" fontId="2" fillId="2" borderId="12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10" fontId="2" fillId="3" borderId="12" xfId="0" applyNumberFormat="1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10" fontId="2" fillId="0" borderId="11" xfId="0" applyNumberFormat="1" applyFont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10" fontId="2" fillId="2" borderId="20" xfId="0" applyNumberFormat="1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10" fontId="2" fillId="3" borderId="20" xfId="0" applyNumberFormat="1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21" xfId="0" applyFont="1" applyBorder="1" applyAlignment="1">
      <alignment horizontal="left" vertical="center" wrapText="1"/>
    </xf>
    <xf numFmtId="0" fontId="3" fillId="0" borderId="18" xfId="0" applyFont="1" applyBorder="1" applyAlignment="1">
      <alignment vertical="center" wrapText="1"/>
    </xf>
    <xf numFmtId="4" fontId="3" fillId="0" borderId="22" xfId="0" applyNumberFormat="1" applyFont="1" applyBorder="1" applyAlignment="1">
      <alignment vertical="center" wrapText="1"/>
    </xf>
    <xf numFmtId="4" fontId="3" fillId="0" borderId="23" xfId="0" applyNumberFormat="1" applyFont="1" applyBorder="1" applyAlignment="1">
      <alignment vertical="center" wrapText="1"/>
    </xf>
    <xf numFmtId="4" fontId="3" fillId="0" borderId="24" xfId="0" applyNumberFormat="1" applyFont="1" applyBorder="1" applyAlignment="1">
      <alignment vertical="center" wrapText="1"/>
    </xf>
    <xf numFmtId="4" fontId="3" fillId="0" borderId="19" xfId="0" applyNumberFormat="1" applyFont="1" applyBorder="1" applyAlignment="1">
      <alignment vertical="center" wrapText="1"/>
    </xf>
    <xf numFmtId="4" fontId="4" fillId="0" borderId="25" xfId="0" applyNumberFormat="1" applyFont="1" applyBorder="1" applyAlignment="1">
      <alignment vertical="center"/>
    </xf>
    <xf numFmtId="4" fontId="3" fillId="2" borderId="19" xfId="0" applyNumberFormat="1" applyFont="1" applyFill="1" applyBorder="1" applyAlignment="1">
      <alignment vertical="center" wrapText="1"/>
    </xf>
    <xf numFmtId="4" fontId="3" fillId="2" borderId="23" xfId="0" applyNumberFormat="1" applyFont="1" applyFill="1" applyBorder="1" applyAlignment="1">
      <alignment vertical="center" wrapText="1"/>
    </xf>
    <xf numFmtId="4" fontId="3" fillId="2" borderId="24" xfId="0" applyNumberFormat="1" applyFont="1" applyFill="1" applyBorder="1" applyAlignment="1">
      <alignment vertical="center" wrapText="1"/>
    </xf>
    <xf numFmtId="4" fontId="4" fillId="2" borderId="19" xfId="0" applyNumberFormat="1" applyFont="1" applyFill="1" applyBorder="1" applyAlignment="1">
      <alignment vertical="center"/>
    </xf>
    <xf numFmtId="4" fontId="3" fillId="3" borderId="18" xfId="0" applyNumberFormat="1" applyFont="1" applyFill="1" applyBorder="1" applyAlignment="1">
      <alignment vertical="center" wrapText="1"/>
    </xf>
    <xf numFmtId="4" fontId="3" fillId="3" borderId="23" xfId="0" applyNumberFormat="1" applyFont="1" applyFill="1" applyBorder="1" applyAlignment="1">
      <alignment vertical="center" wrapText="1"/>
    </xf>
    <xf numFmtId="4" fontId="3" fillId="3" borderId="24" xfId="0" applyNumberFormat="1" applyFont="1" applyFill="1" applyBorder="1" applyAlignment="1">
      <alignment vertical="center" wrapText="1"/>
    </xf>
    <xf numFmtId="4" fontId="3" fillId="3" borderId="19" xfId="0" applyNumberFormat="1" applyFont="1" applyFill="1" applyBorder="1" applyAlignment="1">
      <alignment vertical="center" wrapText="1"/>
    </xf>
    <xf numFmtId="4" fontId="4" fillId="3" borderId="26" xfId="0" applyNumberFormat="1" applyFont="1" applyFill="1" applyBorder="1" applyAlignment="1">
      <alignment vertical="center"/>
    </xf>
    <xf numFmtId="4" fontId="5" fillId="0" borderId="19" xfId="0" applyNumberFormat="1" applyFont="1" applyBorder="1" applyAlignment="1">
      <alignment vertical="center" wrapText="1"/>
    </xf>
    <xf numFmtId="4" fontId="5" fillId="2" borderId="19" xfId="0" applyNumberFormat="1" applyFont="1" applyFill="1" applyBorder="1" applyAlignment="1">
      <alignment vertical="center" wrapText="1"/>
    </xf>
    <xf numFmtId="4" fontId="5" fillId="3" borderId="19" xfId="0" applyNumberFormat="1" applyFont="1" applyFill="1" applyBorder="1" applyAlignment="1">
      <alignment vertical="center" wrapText="1"/>
    </xf>
    <xf numFmtId="4" fontId="5" fillId="3" borderId="2" xfId="0" applyNumberFormat="1" applyFont="1" applyFill="1" applyBorder="1" applyAlignment="1">
      <alignment vertical="center" wrapText="1"/>
    </xf>
    <xf numFmtId="4" fontId="4" fillId="3" borderId="17" xfId="0" applyNumberFormat="1" applyFont="1" applyFill="1" applyBorder="1" applyAlignment="1">
      <alignment vertical="center"/>
    </xf>
    <xf numFmtId="4" fontId="5" fillId="3" borderId="27" xfId="0" applyNumberFormat="1" applyFont="1" applyFill="1" applyBorder="1" applyAlignment="1">
      <alignment vertical="center" wrapText="1"/>
    </xf>
    <xf numFmtId="4" fontId="4" fillId="3" borderId="28" xfId="0" applyNumberFormat="1" applyFont="1" applyFill="1" applyBorder="1" applyAlignment="1">
      <alignment vertical="center"/>
    </xf>
    <xf numFmtId="4" fontId="3" fillId="3" borderId="29" xfId="0" applyNumberFormat="1" applyFont="1" applyFill="1" applyBorder="1" applyAlignment="1">
      <alignment vertical="center" wrapText="1"/>
    </xf>
    <xf numFmtId="4" fontId="3" fillId="3" borderId="2" xfId="0" applyNumberFormat="1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4" fontId="3" fillId="0" borderId="30" xfId="0" applyNumberFormat="1" applyFont="1" applyBorder="1" applyAlignment="1">
      <alignment vertical="center" wrapText="1"/>
    </xf>
    <xf numFmtId="4" fontId="3" fillId="0" borderId="29" xfId="0" applyNumberFormat="1" applyFont="1" applyBorder="1" applyAlignment="1">
      <alignment vertical="center" wrapText="1"/>
    </xf>
    <xf numFmtId="4" fontId="3" fillId="0" borderId="31" xfId="0" applyNumberFormat="1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 wrapText="1"/>
    </xf>
    <xf numFmtId="4" fontId="4" fillId="0" borderId="32" xfId="0" applyNumberFormat="1" applyFont="1" applyBorder="1" applyAlignment="1">
      <alignment vertical="center"/>
    </xf>
    <xf numFmtId="4" fontId="3" fillId="2" borderId="2" xfId="0" applyNumberFormat="1" applyFont="1" applyFill="1" applyBorder="1" applyAlignment="1">
      <alignment vertical="center" wrapText="1"/>
    </xf>
    <xf numFmtId="4" fontId="3" fillId="2" borderId="29" xfId="0" applyNumberFormat="1" applyFont="1" applyFill="1" applyBorder="1" applyAlignment="1">
      <alignment vertical="center" wrapText="1"/>
    </xf>
    <xf numFmtId="4" fontId="3" fillId="2" borderId="31" xfId="0" applyNumberFormat="1" applyFont="1" applyFill="1" applyBorder="1" applyAlignment="1">
      <alignment vertical="center" wrapText="1"/>
    </xf>
    <xf numFmtId="4" fontId="5" fillId="2" borderId="2" xfId="0" applyNumberFormat="1" applyFont="1" applyFill="1" applyBorder="1" applyAlignment="1">
      <alignment vertical="center" wrapText="1"/>
    </xf>
    <xf numFmtId="4" fontId="4" fillId="2" borderId="2" xfId="0" applyNumberFormat="1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vertical="center" wrapText="1"/>
    </xf>
    <xf numFmtId="4" fontId="3" fillId="3" borderId="33" xfId="0" applyNumberFormat="1" applyFont="1" applyFill="1" applyBorder="1" applyAlignment="1">
      <alignment vertical="center" wrapText="1"/>
    </xf>
    <xf numFmtId="4" fontId="3" fillId="3" borderId="34" xfId="0" applyNumberFormat="1" applyFont="1" applyFill="1" applyBorder="1" applyAlignment="1">
      <alignment vertical="center" wrapText="1"/>
    </xf>
    <xf numFmtId="4" fontId="5" fillId="3" borderId="33" xfId="0" applyNumberFormat="1" applyFont="1" applyFill="1" applyBorder="1" applyAlignment="1">
      <alignment vertical="center" wrapText="1"/>
    </xf>
    <xf numFmtId="4" fontId="4" fillId="3" borderId="35" xfId="0" applyNumberFormat="1" applyFont="1" applyFill="1" applyBorder="1" applyAlignment="1">
      <alignment vertical="center"/>
    </xf>
    <xf numFmtId="0" fontId="1" fillId="0" borderId="20" xfId="0" applyFont="1" applyBorder="1" applyAlignment="1">
      <alignment horizontal="left" vertical="center" wrapText="1"/>
    </xf>
    <xf numFmtId="0" fontId="3" fillId="5" borderId="14" xfId="0" applyFont="1" applyFill="1" applyBorder="1" applyAlignment="1">
      <alignment vertical="center" wrapText="1"/>
    </xf>
    <xf numFmtId="4" fontId="3" fillId="0" borderId="36" xfId="0" applyNumberFormat="1" applyFont="1" applyBorder="1" applyAlignment="1">
      <alignment vertical="center" wrapText="1"/>
    </xf>
    <xf numFmtId="4" fontId="3" fillId="0" borderId="37" xfId="0" applyNumberFormat="1" applyFont="1" applyBorder="1" applyAlignment="1">
      <alignment vertical="center" wrapText="1"/>
    </xf>
    <xf numFmtId="4" fontId="3" fillId="0" borderId="38" xfId="0" applyNumberFormat="1" applyFont="1" applyBorder="1" applyAlignment="1">
      <alignment vertical="center" wrapText="1"/>
    </xf>
    <xf numFmtId="4" fontId="5" fillId="0" borderId="16" xfId="0" applyNumberFormat="1" applyFont="1" applyBorder="1" applyAlignment="1">
      <alignment vertical="center" wrapText="1"/>
    </xf>
    <xf numFmtId="4" fontId="4" fillId="0" borderId="39" xfId="0" applyNumberFormat="1" applyFont="1" applyFill="1" applyBorder="1" applyAlignment="1">
      <alignment vertical="center"/>
    </xf>
    <xf numFmtId="4" fontId="3" fillId="2" borderId="16" xfId="0" applyNumberFormat="1" applyFont="1" applyFill="1" applyBorder="1" applyAlignment="1">
      <alignment vertical="center" wrapText="1"/>
    </xf>
    <xf numFmtId="4" fontId="3" fillId="2" borderId="37" xfId="0" applyNumberFormat="1" applyFont="1" applyFill="1" applyBorder="1" applyAlignment="1">
      <alignment vertical="center" wrapText="1"/>
    </xf>
    <xf numFmtId="4" fontId="3" fillId="2" borderId="38" xfId="0" applyNumberFormat="1" applyFont="1" applyFill="1" applyBorder="1" applyAlignment="1">
      <alignment vertical="center" wrapText="1"/>
    </xf>
    <xf numFmtId="4" fontId="5" fillId="2" borderId="16" xfId="0" applyNumberFormat="1" applyFont="1" applyFill="1" applyBorder="1" applyAlignment="1">
      <alignment vertical="center" wrapText="1"/>
    </xf>
    <xf numFmtId="4" fontId="4" fillId="2" borderId="16" xfId="0" applyNumberFormat="1" applyFont="1" applyFill="1" applyBorder="1" applyAlignment="1">
      <alignment vertical="center"/>
    </xf>
    <xf numFmtId="4" fontId="3" fillId="3" borderId="14" xfId="0" applyNumberFormat="1" applyFont="1" applyFill="1" applyBorder="1" applyAlignment="1">
      <alignment vertical="center" wrapText="1"/>
    </xf>
    <xf numFmtId="4" fontId="3" fillId="3" borderId="40" xfId="0" applyNumberFormat="1" applyFont="1" applyFill="1" applyBorder="1" applyAlignment="1">
      <alignment vertical="center" wrapText="1"/>
    </xf>
    <xf numFmtId="4" fontId="3" fillId="3" borderId="41" xfId="0" applyNumberFormat="1" applyFont="1" applyFill="1" applyBorder="1" applyAlignment="1">
      <alignment vertical="center" wrapText="1"/>
    </xf>
    <xf numFmtId="4" fontId="5" fillId="3" borderId="40" xfId="0" applyNumberFormat="1" applyFont="1" applyFill="1" applyBorder="1" applyAlignment="1">
      <alignment vertical="center" wrapText="1"/>
    </xf>
    <xf numFmtId="4" fontId="4" fillId="3" borderId="42" xfId="0" applyNumberFormat="1" applyFont="1" applyFill="1" applyBorder="1" applyAlignment="1">
      <alignment vertical="center"/>
    </xf>
    <xf numFmtId="4" fontId="4" fillId="0" borderId="32" xfId="0" applyNumberFormat="1" applyFont="1" applyFill="1" applyBorder="1" applyAlignment="1">
      <alignment vertical="center"/>
    </xf>
    <xf numFmtId="4" fontId="3" fillId="3" borderId="9" xfId="0" applyNumberFormat="1" applyFont="1" applyFill="1" applyBorder="1" applyAlignment="1">
      <alignment vertical="center" wrapText="1"/>
    </xf>
    <xf numFmtId="4" fontId="3" fillId="3" borderId="43" xfId="0" applyNumberFormat="1" applyFont="1" applyFill="1" applyBorder="1" applyAlignment="1">
      <alignment vertical="center" wrapText="1"/>
    </xf>
    <xf numFmtId="4" fontId="3" fillId="3" borderId="0" xfId="0" applyNumberFormat="1" applyFont="1" applyFill="1" applyBorder="1" applyAlignment="1">
      <alignment vertical="center" wrapText="1"/>
    </xf>
    <xf numFmtId="0" fontId="1" fillId="0" borderId="20" xfId="0" applyFont="1" applyBorder="1" applyAlignment="1">
      <alignment horizontal="left" vertical="center" wrapText="1"/>
    </xf>
    <xf numFmtId="4" fontId="3" fillId="3" borderId="44" xfId="0" applyNumberFormat="1" applyFont="1" applyFill="1" applyBorder="1" applyAlignment="1">
      <alignment vertical="center" wrapText="1"/>
    </xf>
    <xf numFmtId="4" fontId="5" fillId="3" borderId="0" xfId="0" applyNumberFormat="1" applyFont="1" applyFill="1" applyBorder="1" applyAlignment="1">
      <alignment vertical="center" wrapText="1"/>
    </xf>
    <xf numFmtId="4" fontId="4" fillId="3" borderId="11" xfId="0" applyNumberFormat="1" applyFont="1" applyFill="1" applyBorder="1" applyAlignment="1">
      <alignment vertical="center"/>
    </xf>
    <xf numFmtId="4" fontId="3" fillId="3" borderId="45" xfId="0" applyNumberFormat="1" applyFont="1" applyFill="1" applyBorder="1" applyAlignment="1">
      <alignment vertical="center" wrapText="1"/>
    </xf>
    <xf numFmtId="4" fontId="5" fillId="3" borderId="16" xfId="0" applyNumberFormat="1" applyFont="1" applyFill="1" applyBorder="1" applyAlignment="1">
      <alignment vertical="center" wrapText="1"/>
    </xf>
    <xf numFmtId="4" fontId="4" fillId="3" borderId="15" xfId="0" applyNumberFormat="1" applyFont="1" applyFill="1" applyBorder="1" applyAlignment="1">
      <alignment vertical="center"/>
    </xf>
    <xf numFmtId="4" fontId="3" fillId="3" borderId="46" xfId="0" applyNumberFormat="1" applyFont="1" applyFill="1" applyBorder="1" applyAlignment="1">
      <alignment vertical="center" wrapText="1"/>
    </xf>
    <xf numFmtId="4" fontId="3" fillId="3" borderId="37" xfId="0" applyNumberFormat="1" applyFont="1" applyFill="1" applyBorder="1" applyAlignment="1">
      <alignment vertical="center" wrapText="1"/>
    </xf>
    <xf numFmtId="4" fontId="3" fillId="3" borderId="38" xfId="0" applyNumberFormat="1" applyFont="1" applyFill="1" applyBorder="1" applyAlignment="1">
      <alignment vertical="center" wrapText="1"/>
    </xf>
    <xf numFmtId="4" fontId="3" fillId="3" borderId="31" xfId="0" applyNumberFormat="1" applyFont="1" applyFill="1" applyBorder="1" applyAlignment="1">
      <alignment vertical="center" wrapText="1"/>
    </xf>
    <xf numFmtId="4" fontId="4" fillId="0" borderId="25" xfId="0" applyNumberFormat="1" applyFont="1" applyFill="1" applyBorder="1" applyAlignment="1">
      <alignment vertical="center"/>
    </xf>
    <xf numFmtId="0" fontId="1" fillId="0" borderId="12" xfId="0" applyFont="1" applyBorder="1" applyAlignment="1">
      <alignment horizontal="left" vertical="center" wrapText="1"/>
    </xf>
    <xf numFmtId="0" fontId="3" fillId="6" borderId="9" xfId="0" applyFont="1" applyFill="1" applyBorder="1" applyAlignment="1">
      <alignment vertical="center" wrapText="1"/>
    </xf>
    <xf numFmtId="4" fontId="3" fillId="0" borderId="10" xfId="0" applyNumberFormat="1" applyFont="1" applyBorder="1" applyAlignment="1">
      <alignment vertical="center" wrapText="1"/>
    </xf>
    <xf numFmtId="4" fontId="3" fillId="0" borderId="43" xfId="0" applyNumberFormat="1" applyFont="1" applyBorder="1" applyAlignment="1">
      <alignment vertical="center" wrapText="1"/>
    </xf>
    <xf numFmtId="4" fontId="3" fillId="0" borderId="46" xfId="0" applyNumberFormat="1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 wrapText="1"/>
    </xf>
    <xf numFmtId="4" fontId="4" fillId="0" borderId="13" xfId="0" applyNumberFormat="1" applyFont="1" applyBorder="1" applyAlignment="1">
      <alignment vertical="center"/>
    </xf>
    <xf numFmtId="4" fontId="3" fillId="2" borderId="0" xfId="0" applyNumberFormat="1" applyFont="1" applyFill="1" applyBorder="1" applyAlignment="1">
      <alignment vertical="center" wrapText="1"/>
    </xf>
    <xf numFmtId="4" fontId="3" fillId="2" borderId="43" xfId="0" applyNumberFormat="1" applyFont="1" applyFill="1" applyBorder="1" applyAlignment="1">
      <alignment vertical="center" wrapText="1"/>
    </xf>
    <xf numFmtId="4" fontId="3" fillId="2" borderId="46" xfId="0" applyNumberFormat="1" applyFont="1" applyFill="1" applyBorder="1" applyAlignment="1">
      <alignment vertical="center" wrapText="1"/>
    </xf>
    <xf numFmtId="4" fontId="5" fillId="2" borderId="0" xfId="0" applyNumberFormat="1" applyFont="1" applyFill="1" applyBorder="1" applyAlignment="1">
      <alignment vertical="center" wrapText="1"/>
    </xf>
    <xf numFmtId="4" fontId="4" fillId="2" borderId="0" xfId="0" applyNumberFormat="1" applyFont="1" applyFill="1" applyBorder="1" applyAlignment="1">
      <alignment vertical="center"/>
    </xf>
    <xf numFmtId="0" fontId="3" fillId="7" borderId="14" xfId="0" applyFont="1" applyFill="1" applyBorder="1" applyAlignment="1">
      <alignment vertical="center" wrapText="1"/>
    </xf>
    <xf numFmtId="4" fontId="4" fillId="0" borderId="39" xfId="0" applyNumberFormat="1" applyFont="1" applyBorder="1" applyAlignment="1">
      <alignment vertical="center"/>
    </xf>
    <xf numFmtId="0" fontId="3" fillId="0" borderId="18" xfId="0" applyFont="1" applyFill="1" applyBorder="1" applyAlignment="1">
      <alignment vertical="center" wrapText="1"/>
    </xf>
    <xf numFmtId="0" fontId="3" fillId="0" borderId="18" xfId="0" applyFont="1" applyFill="1" applyBorder="1"/>
    <xf numFmtId="0" fontId="1" fillId="8" borderId="18" xfId="0" applyFont="1" applyFill="1" applyBorder="1" applyAlignment="1">
      <alignment horizontal="center" vertical="center"/>
    </xf>
    <xf numFmtId="0" fontId="1" fillId="8" borderId="18" xfId="0" applyFont="1" applyFill="1" applyBorder="1" applyAlignment="1">
      <alignment vertical="center" wrapText="1"/>
    </xf>
    <xf numFmtId="4" fontId="3" fillId="8" borderId="22" xfId="0" applyNumberFormat="1" applyFont="1" applyFill="1" applyBorder="1" applyAlignment="1">
      <alignment vertical="center" wrapText="1"/>
    </xf>
    <xf numFmtId="4" fontId="3" fillId="8" borderId="23" xfId="0" applyNumberFormat="1" applyFont="1" applyFill="1" applyBorder="1" applyAlignment="1">
      <alignment vertical="center" wrapText="1"/>
    </xf>
    <xf numFmtId="4" fontId="3" fillId="8" borderId="24" xfId="0" applyNumberFormat="1" applyFont="1" applyFill="1" applyBorder="1" applyAlignment="1">
      <alignment vertical="center" wrapText="1"/>
    </xf>
    <xf numFmtId="4" fontId="5" fillId="8" borderId="19" xfId="0" applyNumberFormat="1" applyFont="1" applyFill="1" applyBorder="1" applyAlignment="1">
      <alignment vertical="center" wrapText="1"/>
    </xf>
    <xf numFmtId="4" fontId="4" fillId="8" borderId="25" xfId="0" applyNumberFormat="1" applyFont="1" applyFill="1" applyBorder="1" applyAlignment="1">
      <alignment vertical="center"/>
    </xf>
    <xf numFmtId="4" fontId="3" fillId="8" borderId="19" xfId="0" applyNumberFormat="1" applyFont="1" applyFill="1" applyBorder="1" applyAlignment="1">
      <alignment vertical="center" wrapText="1"/>
    </xf>
    <xf numFmtId="4" fontId="4" fillId="8" borderId="19" xfId="0" applyNumberFormat="1" applyFont="1" applyFill="1" applyBorder="1" applyAlignment="1">
      <alignment vertical="center"/>
    </xf>
    <xf numFmtId="4" fontId="3" fillId="8" borderId="18" xfId="0" applyNumberFormat="1" applyFont="1" applyFill="1" applyBorder="1" applyAlignment="1">
      <alignment vertical="center" wrapText="1"/>
    </xf>
    <xf numFmtId="4" fontId="4" fillId="8" borderId="26" xfId="0" applyNumberFormat="1" applyFont="1" applyFill="1" applyBorder="1" applyAlignment="1">
      <alignment vertical="center"/>
    </xf>
    <xf numFmtId="4" fontId="5" fillId="0" borderId="19" xfId="0" applyNumberFormat="1" applyFont="1" applyFill="1" applyBorder="1" applyAlignment="1">
      <alignment vertical="center" wrapText="1"/>
    </xf>
    <xf numFmtId="0" fontId="3" fillId="4" borderId="9" xfId="0" applyFont="1" applyFill="1" applyBorder="1" applyAlignment="1">
      <alignment vertical="center" wrapText="1"/>
    </xf>
    <xf numFmtId="4" fontId="5" fillId="0" borderId="2" xfId="0" applyNumberFormat="1" applyFont="1" applyFill="1" applyBorder="1" applyAlignment="1">
      <alignment vertical="center" wrapText="1"/>
    </xf>
    <xf numFmtId="0" fontId="1" fillId="0" borderId="20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vertical="center" wrapText="1"/>
    </xf>
    <xf numFmtId="4" fontId="5" fillId="0" borderId="16" xfId="0" applyNumberFormat="1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left" vertical="center" wrapText="1"/>
    </xf>
    <xf numFmtId="4" fontId="5" fillId="0" borderId="0" xfId="0" applyNumberFormat="1" applyFont="1" applyFill="1" applyBorder="1" applyAlignment="1">
      <alignment vertical="center" wrapText="1"/>
    </xf>
    <xf numFmtId="4" fontId="4" fillId="0" borderId="13" xfId="0" applyNumberFormat="1" applyFont="1" applyFill="1" applyBorder="1" applyAlignment="1">
      <alignment vertical="center"/>
    </xf>
    <xf numFmtId="0" fontId="1" fillId="0" borderId="20" xfId="0" applyFont="1" applyFill="1" applyBorder="1" applyAlignment="1">
      <alignment horizontal="left" vertical="center" wrapText="1"/>
    </xf>
    <xf numFmtId="4" fontId="3" fillId="8" borderId="1" xfId="0" applyNumberFormat="1" applyFont="1" applyFill="1" applyBorder="1" applyAlignment="1">
      <alignment vertical="center" wrapText="1"/>
    </xf>
    <xf numFmtId="4" fontId="3" fillId="8" borderId="29" xfId="0" applyNumberFormat="1" applyFont="1" applyFill="1" applyBorder="1" applyAlignment="1">
      <alignment vertical="center" wrapText="1"/>
    </xf>
    <xf numFmtId="4" fontId="3" fillId="8" borderId="31" xfId="0" applyNumberFormat="1" applyFont="1" applyFill="1" applyBorder="1" applyAlignment="1">
      <alignment vertical="center" wrapText="1"/>
    </xf>
    <xf numFmtId="4" fontId="5" fillId="8" borderId="2" xfId="0" applyNumberFormat="1" applyFont="1" applyFill="1" applyBorder="1" applyAlignment="1">
      <alignment vertical="center" wrapText="1"/>
    </xf>
    <xf numFmtId="4" fontId="4" fillId="8" borderId="17" xfId="0" applyNumberFormat="1" applyFont="1" applyFill="1" applyBorder="1" applyAlignment="1">
      <alignment vertical="center"/>
    </xf>
    <xf numFmtId="0" fontId="6" fillId="0" borderId="8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4" fontId="6" fillId="0" borderId="30" xfId="0" applyNumberFormat="1" applyFont="1" applyBorder="1" applyAlignment="1">
      <alignment vertical="center" wrapText="1"/>
    </xf>
    <xf numFmtId="4" fontId="6" fillId="0" borderId="29" xfId="0" applyNumberFormat="1" applyFont="1" applyBorder="1" applyAlignment="1">
      <alignment vertical="center" wrapText="1"/>
    </xf>
    <xf numFmtId="4" fontId="6" fillId="0" borderId="31" xfId="0" applyNumberFormat="1" applyFont="1" applyBorder="1" applyAlignment="1">
      <alignment vertical="center" wrapText="1"/>
    </xf>
    <xf numFmtId="4" fontId="6" fillId="0" borderId="2" xfId="0" applyNumberFormat="1" applyFont="1" applyBorder="1" applyAlignment="1">
      <alignment vertical="center" wrapText="1"/>
    </xf>
    <xf numFmtId="4" fontId="6" fillId="0" borderId="32" xfId="0" applyNumberFormat="1" applyFont="1" applyBorder="1" applyAlignment="1">
      <alignment vertical="center" wrapText="1"/>
    </xf>
    <xf numFmtId="4" fontId="6" fillId="2" borderId="2" xfId="0" applyNumberFormat="1" applyFont="1" applyFill="1" applyBorder="1" applyAlignment="1">
      <alignment vertical="center" wrapText="1"/>
    </xf>
    <xf numFmtId="4" fontId="6" fillId="2" borderId="29" xfId="0" applyNumberFormat="1" applyFont="1" applyFill="1" applyBorder="1" applyAlignment="1">
      <alignment vertical="center" wrapText="1"/>
    </xf>
    <xf numFmtId="4" fontId="6" fillId="2" borderId="31" xfId="0" applyNumberFormat="1" applyFont="1" applyFill="1" applyBorder="1" applyAlignment="1">
      <alignment vertical="center" wrapText="1"/>
    </xf>
    <xf numFmtId="4" fontId="6" fillId="3" borderId="47" xfId="0" applyNumberFormat="1" applyFont="1" applyFill="1" applyBorder="1" applyAlignment="1">
      <alignment vertical="center" wrapText="1"/>
    </xf>
    <xf numFmtId="4" fontId="6" fillId="3" borderId="27" xfId="0" applyNumberFormat="1" applyFont="1" applyFill="1" applyBorder="1" applyAlignment="1">
      <alignment vertical="center"/>
    </xf>
    <xf numFmtId="4" fontId="6" fillId="3" borderId="28" xfId="0" applyNumberFormat="1" applyFont="1" applyFill="1" applyBorder="1" applyAlignment="1">
      <alignment vertical="center" wrapText="1"/>
    </xf>
    <xf numFmtId="0" fontId="8" fillId="0" borderId="12" xfId="0" applyFont="1" applyBorder="1" applyAlignment="1">
      <alignment horizontal="left" vertical="center"/>
    </xf>
    <xf numFmtId="0" fontId="3" fillId="0" borderId="9" xfId="0" applyFont="1" applyBorder="1" applyAlignment="1">
      <alignment vertical="center"/>
    </xf>
    <xf numFmtId="4" fontId="3" fillId="0" borderId="10" xfId="0" applyNumberFormat="1" applyFont="1" applyBorder="1" applyAlignment="1">
      <alignment vertical="center"/>
    </xf>
    <xf numFmtId="4" fontId="3" fillId="0" borderId="43" xfId="0" applyNumberFormat="1" applyFont="1" applyBorder="1" applyAlignment="1">
      <alignment vertical="center"/>
    </xf>
    <xf numFmtId="4" fontId="3" fillId="0" borderId="46" xfId="0" applyNumberFormat="1" applyFont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4" fontId="3" fillId="0" borderId="13" xfId="0" applyNumberFormat="1" applyFont="1" applyBorder="1" applyAlignment="1">
      <alignment vertical="center"/>
    </xf>
    <xf numFmtId="4" fontId="3" fillId="2" borderId="0" xfId="0" applyNumberFormat="1" applyFont="1" applyFill="1" applyBorder="1" applyAlignment="1">
      <alignment vertical="center"/>
    </xf>
    <xf numFmtId="4" fontId="3" fillId="2" borderId="43" xfId="0" applyNumberFormat="1" applyFont="1" applyFill="1" applyBorder="1" applyAlignment="1">
      <alignment vertical="center"/>
    </xf>
    <xf numFmtId="4" fontId="3" fillId="2" borderId="46" xfId="0" applyNumberFormat="1" applyFont="1" applyFill="1" applyBorder="1" applyAlignment="1">
      <alignment vertical="center"/>
    </xf>
    <xf numFmtId="4" fontId="3" fillId="3" borderId="9" xfId="0" applyNumberFormat="1" applyFont="1" applyFill="1" applyBorder="1" applyAlignment="1">
      <alignment vertical="center"/>
    </xf>
    <xf numFmtId="4" fontId="3" fillId="3" borderId="43" xfId="0" applyNumberFormat="1" applyFont="1" applyFill="1" applyBorder="1" applyAlignment="1">
      <alignment vertical="center"/>
    </xf>
    <xf numFmtId="4" fontId="3" fillId="3" borderId="46" xfId="0" applyNumberFormat="1" applyFont="1" applyFill="1" applyBorder="1" applyAlignment="1">
      <alignment vertical="center"/>
    </xf>
    <xf numFmtId="4" fontId="3" fillId="3" borderId="0" xfId="0" applyNumberFormat="1" applyFont="1" applyFill="1" applyBorder="1" applyAlignment="1">
      <alignment vertical="center"/>
    </xf>
    <xf numFmtId="4" fontId="3" fillId="3" borderId="11" xfId="0" applyNumberFormat="1" applyFont="1" applyFill="1" applyBorder="1" applyAlignment="1">
      <alignment vertical="center"/>
    </xf>
    <xf numFmtId="0" fontId="1" fillId="0" borderId="12" xfId="0" applyFont="1" applyBorder="1" applyAlignment="1">
      <alignment horizontal="left" vertical="center"/>
    </xf>
    <xf numFmtId="4" fontId="1" fillId="0" borderId="10" xfId="0" applyNumberFormat="1" applyFont="1" applyBorder="1" applyAlignment="1">
      <alignment vertical="center"/>
    </xf>
    <xf numFmtId="4" fontId="1" fillId="0" borderId="43" xfId="0" applyNumberFormat="1" applyFont="1" applyBorder="1" applyAlignment="1">
      <alignment vertical="center"/>
    </xf>
    <xf numFmtId="4" fontId="1" fillId="0" borderId="46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1" fillId="0" borderId="13" xfId="0" applyNumberFormat="1" applyFont="1" applyBorder="1" applyAlignment="1">
      <alignment vertical="center"/>
    </xf>
    <xf numFmtId="4" fontId="1" fillId="2" borderId="0" xfId="0" applyNumberFormat="1" applyFont="1" applyFill="1" applyBorder="1" applyAlignment="1">
      <alignment vertical="center"/>
    </xf>
    <xf numFmtId="4" fontId="1" fillId="2" borderId="43" xfId="0" applyNumberFormat="1" applyFont="1" applyFill="1" applyBorder="1" applyAlignment="1">
      <alignment vertical="center"/>
    </xf>
    <xf numFmtId="4" fontId="1" fillId="2" borderId="46" xfId="0" applyNumberFormat="1" applyFont="1" applyFill="1" applyBorder="1" applyAlignment="1">
      <alignment vertical="center"/>
    </xf>
    <xf numFmtId="4" fontId="1" fillId="3" borderId="9" xfId="0" applyNumberFormat="1" applyFont="1" applyFill="1" applyBorder="1" applyAlignment="1">
      <alignment vertical="center"/>
    </xf>
    <xf numFmtId="4" fontId="1" fillId="3" borderId="43" xfId="0" applyNumberFormat="1" applyFont="1" applyFill="1" applyBorder="1" applyAlignment="1">
      <alignment vertical="center"/>
    </xf>
    <xf numFmtId="4" fontId="1" fillId="3" borderId="46" xfId="0" applyNumberFormat="1" applyFont="1" applyFill="1" applyBorder="1" applyAlignment="1">
      <alignment vertical="center"/>
    </xf>
    <xf numFmtId="4" fontId="1" fillId="3" borderId="0" xfId="0" applyNumberFormat="1" applyFont="1" applyFill="1" applyBorder="1" applyAlignment="1">
      <alignment vertical="center"/>
    </xf>
    <xf numFmtId="4" fontId="1" fillId="3" borderId="11" xfId="0" applyNumberFormat="1" applyFont="1" applyFill="1" applyBorder="1" applyAlignment="1">
      <alignment vertical="center"/>
    </xf>
    <xf numFmtId="0" fontId="3" fillId="0" borderId="20" xfId="0" applyFont="1" applyBorder="1" applyAlignment="1">
      <alignment horizontal="left" vertical="center"/>
    </xf>
    <xf numFmtId="0" fontId="3" fillId="0" borderId="14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0" fontId="3" fillId="2" borderId="40" xfId="0" applyFont="1" applyFill="1" applyBorder="1" applyAlignment="1">
      <alignment vertical="center"/>
    </xf>
    <xf numFmtId="0" fontId="3" fillId="2" borderId="45" xfId="0" applyFont="1" applyFill="1" applyBorder="1" applyAlignment="1">
      <alignment vertical="center"/>
    </xf>
    <xf numFmtId="0" fontId="3" fillId="3" borderId="14" xfId="0" applyFont="1" applyFill="1" applyBorder="1" applyAlignment="1">
      <alignment vertical="center"/>
    </xf>
    <xf numFmtId="0" fontId="3" fillId="3" borderId="37" xfId="0" applyFont="1" applyFill="1" applyBorder="1" applyAlignment="1">
      <alignment vertical="center"/>
    </xf>
    <xf numFmtId="0" fontId="3" fillId="3" borderId="38" xfId="0" applyFont="1" applyFill="1" applyBorder="1" applyAlignment="1">
      <alignment vertical="center"/>
    </xf>
    <xf numFmtId="0" fontId="3" fillId="3" borderId="16" xfId="0" applyFont="1" applyFill="1" applyBorder="1" applyAlignment="1">
      <alignment vertical="center"/>
    </xf>
    <xf numFmtId="0" fontId="3" fillId="3" borderId="15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4" fontId="9" fillId="0" borderId="10" xfId="0" applyNumberFormat="1" applyFont="1" applyBorder="1" applyAlignment="1">
      <alignment vertical="center"/>
    </xf>
    <xf numFmtId="4" fontId="9" fillId="0" borderId="0" xfId="0" applyNumberFormat="1" applyFont="1" applyBorder="1" applyAlignment="1">
      <alignment vertical="center"/>
    </xf>
    <xf numFmtId="4" fontId="9" fillId="0" borderId="13" xfId="0" applyNumberFormat="1" applyFont="1" applyBorder="1" applyAlignment="1">
      <alignment vertical="center"/>
    </xf>
    <xf numFmtId="4" fontId="9" fillId="2" borderId="0" xfId="0" applyNumberFormat="1" applyFont="1" applyFill="1" applyBorder="1" applyAlignment="1">
      <alignment vertical="center"/>
    </xf>
    <xf numFmtId="4" fontId="9" fillId="3" borderId="0" xfId="0" applyNumberFormat="1" applyFont="1" applyFill="1" applyBorder="1" applyAlignment="1">
      <alignment vertical="center"/>
    </xf>
    <xf numFmtId="4" fontId="9" fillId="0" borderId="48" xfId="0" applyNumberFormat="1" applyFont="1" applyBorder="1" applyAlignment="1">
      <alignment vertical="center"/>
    </xf>
    <xf numFmtId="4" fontId="9" fillId="0" borderId="49" xfId="0" applyNumberFormat="1" applyFont="1" applyBorder="1" applyAlignment="1">
      <alignment vertical="center"/>
    </xf>
    <xf numFmtId="4" fontId="9" fillId="0" borderId="50" xfId="0" applyNumberFormat="1" applyFont="1" applyBorder="1" applyAlignment="1">
      <alignment vertical="center"/>
    </xf>
    <xf numFmtId="0" fontId="11" fillId="0" borderId="21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21" xfId="0" applyFont="1" applyBorder="1" applyAlignment="1">
      <alignment vertical="center" wrapText="1"/>
    </xf>
    <xf numFmtId="0" fontId="10" fillId="8" borderId="21" xfId="0" applyFont="1" applyFill="1" applyBorder="1" applyAlignment="1">
      <alignment horizontal="left" vertical="center" wrapText="1"/>
    </xf>
    <xf numFmtId="0" fontId="10" fillId="8" borderId="21" xfId="0" applyFont="1" applyFill="1" applyBorder="1" applyAlignment="1">
      <alignment vertical="center" wrapText="1"/>
    </xf>
    <xf numFmtId="0" fontId="10" fillId="0" borderId="21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1"/>
  <sheetViews>
    <sheetView tabSelected="1" workbookViewId="0">
      <selection activeCell="D1" sqref="D1"/>
    </sheetView>
  </sheetViews>
  <sheetFormatPr defaultRowHeight="15" x14ac:dyDescent="0.25"/>
  <cols>
    <col min="1" max="1" width="4.7109375" customWidth="1"/>
    <col min="2" max="2" width="36.42578125" customWidth="1"/>
    <col min="3" max="4" width="13.7109375" customWidth="1"/>
    <col min="7" max="7" width="12.42578125" customWidth="1"/>
    <col min="8" max="8" width="14" customWidth="1"/>
    <col min="11" max="11" width="13" customWidth="1"/>
    <col min="12" max="12" width="11.140625" customWidth="1"/>
    <col min="13" max="13" width="10.140625" customWidth="1"/>
    <col min="14" max="14" width="14.42578125" customWidth="1"/>
    <col min="15" max="15" width="10.42578125" customWidth="1"/>
    <col min="16" max="16" width="10" customWidth="1"/>
    <col min="17" max="17" width="11.7109375" customWidth="1"/>
    <col min="18" max="18" width="14" customWidth="1"/>
  </cols>
  <sheetData>
    <row r="1" spans="1:18" ht="39" thickTop="1" x14ac:dyDescent="0.25">
      <c r="A1" s="1" t="s">
        <v>0</v>
      </c>
      <c r="B1" s="2"/>
      <c r="C1" s="2"/>
      <c r="D1" s="3" t="s">
        <v>1</v>
      </c>
      <c r="E1" s="4" t="s">
        <v>2</v>
      </c>
      <c r="F1" s="5"/>
      <c r="G1" s="6">
        <v>0.89990000000000003</v>
      </c>
      <c r="H1" s="7" t="s">
        <v>3</v>
      </c>
      <c r="I1" s="8" t="s">
        <v>1</v>
      </c>
      <c r="J1" s="9" t="s">
        <v>2</v>
      </c>
      <c r="K1" s="8"/>
      <c r="L1" s="10">
        <v>0.89990000000000003</v>
      </c>
      <c r="M1" s="8" t="s">
        <v>4</v>
      </c>
      <c r="N1" s="11" t="s">
        <v>1</v>
      </c>
      <c r="O1" s="11" t="s">
        <v>2</v>
      </c>
      <c r="P1" s="12"/>
      <c r="Q1" s="13">
        <v>0.89990000000000003</v>
      </c>
      <c r="R1" s="14" t="s">
        <v>5</v>
      </c>
    </row>
    <row r="2" spans="1:18" x14ac:dyDescent="0.25">
      <c r="A2" s="15"/>
      <c r="B2" s="16"/>
      <c r="C2" s="16"/>
      <c r="D2" s="17"/>
      <c r="E2" s="18"/>
      <c r="F2" s="19"/>
      <c r="G2" s="20"/>
      <c r="H2" s="21"/>
      <c r="I2" s="22"/>
      <c r="J2" s="23"/>
      <c r="K2" s="22"/>
      <c r="L2" s="24"/>
      <c r="M2" s="22"/>
      <c r="N2" s="25"/>
      <c r="O2" s="25"/>
      <c r="P2" s="26"/>
      <c r="Q2" s="27"/>
      <c r="R2" s="28"/>
    </row>
    <row r="3" spans="1:18" ht="15.75" thickBot="1" x14ac:dyDescent="0.3">
      <c r="A3" s="15"/>
      <c r="B3" s="16"/>
      <c r="C3" s="16"/>
      <c r="D3" s="17"/>
      <c r="E3" s="29"/>
      <c r="F3" s="30"/>
      <c r="G3" s="20"/>
      <c r="H3" s="21"/>
      <c r="I3" s="22"/>
      <c r="J3" s="31"/>
      <c r="K3" s="32"/>
      <c r="L3" s="24"/>
      <c r="M3" s="22"/>
      <c r="N3" s="25"/>
      <c r="O3" s="33"/>
      <c r="P3" s="34"/>
      <c r="Q3" s="27"/>
      <c r="R3" s="28"/>
    </row>
    <row r="4" spans="1:18" ht="26.25" thickBot="1" x14ac:dyDescent="0.3">
      <c r="A4" s="35"/>
      <c r="B4" s="36"/>
      <c r="C4" s="36"/>
      <c r="D4" s="17"/>
      <c r="E4" s="37" t="s">
        <v>6</v>
      </c>
      <c r="F4" s="38" t="s">
        <v>7</v>
      </c>
      <c r="G4" s="39"/>
      <c r="H4" s="21"/>
      <c r="I4" s="32"/>
      <c r="J4" s="40" t="s">
        <v>6</v>
      </c>
      <c r="K4" s="41" t="s">
        <v>7</v>
      </c>
      <c r="L4" s="42"/>
      <c r="M4" s="32"/>
      <c r="N4" s="33"/>
      <c r="O4" s="43" t="s">
        <v>6</v>
      </c>
      <c r="P4" s="44" t="s">
        <v>7</v>
      </c>
      <c r="Q4" s="45"/>
      <c r="R4" s="46"/>
    </row>
    <row r="5" spans="1:18" ht="21.75" thickBot="1" x14ac:dyDescent="0.3">
      <c r="A5" s="47">
        <v>1</v>
      </c>
      <c r="B5" s="231" t="s">
        <v>8</v>
      </c>
      <c r="C5" s="49" t="s">
        <v>9</v>
      </c>
      <c r="D5" s="50">
        <f>H5-G5</f>
        <v>0</v>
      </c>
      <c r="E5" s="51">
        <f>G5*$F$55</f>
        <v>0</v>
      </c>
      <c r="F5" s="52">
        <f>G5*$F$56</f>
        <v>0</v>
      </c>
      <c r="G5" s="53">
        <f>H5</f>
        <v>20700</v>
      </c>
      <c r="H5" s="54">
        <v>20700</v>
      </c>
      <c r="I5" s="55">
        <f>M5-L5</f>
        <v>0</v>
      </c>
      <c r="J5" s="56">
        <f>L5*$F$55</f>
        <v>0</v>
      </c>
      <c r="K5" s="57">
        <f>L5*$F$56</f>
        <v>0</v>
      </c>
      <c r="L5" s="55">
        <f>M5</f>
        <v>0</v>
      </c>
      <c r="M5" s="58">
        <v>0</v>
      </c>
      <c r="N5" s="59">
        <f>R5-Q5</f>
        <v>0</v>
      </c>
      <c r="O5" s="60">
        <f>Q5*$F$55</f>
        <v>0</v>
      </c>
      <c r="P5" s="61">
        <f>Q5*$F$56</f>
        <v>0</v>
      </c>
      <c r="Q5" s="62">
        <f>R5</f>
        <v>11000</v>
      </c>
      <c r="R5" s="63">
        <v>11000</v>
      </c>
    </row>
    <row r="6" spans="1:18" ht="19.5" thickBot="1" x14ac:dyDescent="0.3">
      <c r="A6" s="47">
        <v>2</v>
      </c>
      <c r="B6" s="232" t="s">
        <v>10</v>
      </c>
      <c r="C6" s="49" t="s">
        <v>9</v>
      </c>
      <c r="D6" s="50">
        <f t="shared" ref="D6:D45" si="0">H6-G6</f>
        <v>0</v>
      </c>
      <c r="E6" s="51">
        <f t="shared" ref="E6:E45" si="1">G6*$F$55</f>
        <v>0</v>
      </c>
      <c r="F6" s="52">
        <f t="shared" ref="F6:F45" si="2">G6*$F$56</f>
        <v>0</v>
      </c>
      <c r="G6" s="53">
        <f>H6</f>
        <v>332200</v>
      </c>
      <c r="H6" s="54">
        <v>332200</v>
      </c>
      <c r="I6" s="55">
        <f t="shared" ref="I6:I7" si="3">M6-L6</f>
        <v>0</v>
      </c>
      <c r="J6" s="56">
        <f t="shared" ref="J6:J45" si="4">L6*$F$55</f>
        <v>0</v>
      </c>
      <c r="K6" s="57">
        <f t="shared" ref="K6:K45" si="5">L6*$F$56</f>
        <v>0</v>
      </c>
      <c r="L6" s="55">
        <f>M6</f>
        <v>5600</v>
      </c>
      <c r="M6" s="58">
        <f>1700+1300+1300+1300</f>
        <v>5600</v>
      </c>
      <c r="N6" s="59">
        <f t="shared" ref="N6" si="6">R6-Q6</f>
        <v>0</v>
      </c>
      <c r="O6" s="60">
        <f t="shared" ref="O6:O44" si="7">Q6*$F$55</f>
        <v>0</v>
      </c>
      <c r="P6" s="61">
        <f t="shared" ref="P6:P44" si="8">Q6*$F$56</f>
        <v>0</v>
      </c>
      <c r="Q6" s="62">
        <f>R6</f>
        <v>38253</v>
      </c>
      <c r="R6" s="63">
        <f>45253-7000</f>
        <v>38253</v>
      </c>
    </row>
    <row r="7" spans="1:18" ht="38.25" thickBot="1" x14ac:dyDescent="0.3">
      <c r="A7" s="47">
        <v>3</v>
      </c>
      <c r="B7" s="48" t="s">
        <v>49</v>
      </c>
      <c r="C7" s="49" t="s">
        <v>9</v>
      </c>
      <c r="D7" s="50">
        <f t="shared" si="0"/>
        <v>47100</v>
      </c>
      <c r="E7" s="51">
        <f t="shared" si="1"/>
        <v>0</v>
      </c>
      <c r="F7" s="52">
        <f t="shared" si="2"/>
        <v>0</v>
      </c>
      <c r="G7" s="64">
        <f>H7*90%</f>
        <v>423900</v>
      </c>
      <c r="H7" s="54">
        <v>471000</v>
      </c>
      <c r="I7" s="55">
        <f t="shared" si="3"/>
        <v>0</v>
      </c>
      <c r="J7" s="56">
        <f t="shared" si="4"/>
        <v>0</v>
      </c>
      <c r="K7" s="57">
        <f t="shared" si="5"/>
        <v>0</v>
      </c>
      <c r="L7" s="65">
        <f>M7*90%</f>
        <v>0</v>
      </c>
      <c r="M7" s="58">
        <v>0</v>
      </c>
      <c r="N7" s="59">
        <v>8726.11</v>
      </c>
      <c r="O7" s="60">
        <v>0</v>
      </c>
      <c r="P7" s="61">
        <v>0</v>
      </c>
      <c r="Q7" s="66">
        <v>0</v>
      </c>
      <c r="R7" s="63">
        <v>8726.11</v>
      </c>
    </row>
    <row r="8" spans="1:18" ht="38.25" thickBot="1" x14ac:dyDescent="0.3">
      <c r="A8" s="47">
        <v>4</v>
      </c>
      <c r="B8" s="232" t="s">
        <v>11</v>
      </c>
      <c r="C8" s="49" t="s">
        <v>9</v>
      </c>
      <c r="D8" s="50">
        <v>26730</v>
      </c>
      <c r="E8" s="51">
        <f t="shared" si="1"/>
        <v>0</v>
      </c>
      <c r="F8" s="52">
        <f t="shared" si="2"/>
        <v>0</v>
      </c>
      <c r="G8" s="64">
        <f>H8-D8</f>
        <v>240270</v>
      </c>
      <c r="H8" s="54">
        <v>267000</v>
      </c>
      <c r="I8" s="55">
        <v>0</v>
      </c>
      <c r="J8" s="56">
        <f t="shared" si="4"/>
        <v>0</v>
      </c>
      <c r="K8" s="57">
        <f t="shared" si="5"/>
        <v>0</v>
      </c>
      <c r="L8" s="65">
        <v>0</v>
      </c>
      <c r="M8" s="58">
        <v>0</v>
      </c>
      <c r="N8" s="59">
        <v>0</v>
      </c>
      <c r="O8" s="60">
        <v>0</v>
      </c>
      <c r="P8" s="61">
        <v>0</v>
      </c>
      <c r="Q8" s="66">
        <v>0</v>
      </c>
      <c r="R8" s="63">
        <v>0</v>
      </c>
    </row>
    <row r="9" spans="1:18" ht="38.25" thickBot="1" x14ac:dyDescent="0.3">
      <c r="A9" s="47">
        <v>5</v>
      </c>
      <c r="B9" s="232" t="s">
        <v>12</v>
      </c>
      <c r="C9" s="49" t="s">
        <v>9</v>
      </c>
      <c r="D9" s="50">
        <f t="shared" si="0"/>
        <v>50550</v>
      </c>
      <c r="E9" s="51">
        <f t="shared" si="1"/>
        <v>0</v>
      </c>
      <c r="F9" s="52">
        <f t="shared" si="2"/>
        <v>0</v>
      </c>
      <c r="G9" s="64">
        <f t="shared" ref="G9:G11" si="9">H9*0.9</f>
        <v>454950</v>
      </c>
      <c r="H9" s="54">
        <v>505500</v>
      </c>
      <c r="I9" s="55">
        <f t="shared" ref="I9:I11" si="10">M9-L9</f>
        <v>0</v>
      </c>
      <c r="J9" s="56">
        <f t="shared" si="4"/>
        <v>0</v>
      </c>
      <c r="K9" s="57">
        <f t="shared" si="5"/>
        <v>0</v>
      </c>
      <c r="L9" s="65">
        <f t="shared" ref="L9:L11" si="11">M9*0.9</f>
        <v>0</v>
      </c>
      <c r="M9" s="58">
        <v>0</v>
      </c>
      <c r="N9" s="59">
        <v>0</v>
      </c>
      <c r="O9" s="60">
        <f t="shared" si="7"/>
        <v>0</v>
      </c>
      <c r="P9" s="61">
        <v>0</v>
      </c>
      <c r="Q9" s="67">
        <v>0</v>
      </c>
      <c r="R9" s="68">
        <v>0</v>
      </c>
    </row>
    <row r="10" spans="1:18" ht="38.25" thickBot="1" x14ac:dyDescent="0.3">
      <c r="A10" s="47">
        <v>6</v>
      </c>
      <c r="B10" s="232" t="s">
        <v>13</v>
      </c>
      <c r="C10" s="49" t="s">
        <v>9</v>
      </c>
      <c r="D10" s="50">
        <f t="shared" si="0"/>
        <v>7150</v>
      </c>
      <c r="E10" s="51">
        <f t="shared" si="1"/>
        <v>0</v>
      </c>
      <c r="F10" s="52">
        <f t="shared" si="2"/>
        <v>0</v>
      </c>
      <c r="G10" s="64">
        <f t="shared" si="9"/>
        <v>64350</v>
      </c>
      <c r="H10" s="54">
        <v>71500</v>
      </c>
      <c r="I10" s="55">
        <f t="shared" si="10"/>
        <v>0</v>
      </c>
      <c r="J10" s="56">
        <f t="shared" si="4"/>
        <v>0</v>
      </c>
      <c r="K10" s="57">
        <f t="shared" si="5"/>
        <v>0</v>
      </c>
      <c r="L10" s="65">
        <f t="shared" si="11"/>
        <v>0</v>
      </c>
      <c r="M10" s="58">
        <v>0</v>
      </c>
      <c r="N10" s="59">
        <v>0</v>
      </c>
      <c r="O10" s="60">
        <v>0</v>
      </c>
      <c r="P10" s="61">
        <v>0</v>
      </c>
      <c r="Q10" s="69">
        <v>0</v>
      </c>
      <c r="R10" s="70">
        <v>0</v>
      </c>
    </row>
    <row r="11" spans="1:18" ht="38.25" thickBot="1" x14ac:dyDescent="0.3">
      <c r="A11" s="47">
        <v>7</v>
      </c>
      <c r="B11" s="232" t="s">
        <v>14</v>
      </c>
      <c r="C11" s="49" t="s">
        <v>9</v>
      </c>
      <c r="D11" s="50">
        <f t="shared" si="0"/>
        <v>32767.200000000012</v>
      </c>
      <c r="E11" s="51">
        <f t="shared" si="1"/>
        <v>0</v>
      </c>
      <c r="F11" s="52">
        <f t="shared" si="2"/>
        <v>0</v>
      </c>
      <c r="G11" s="64">
        <f t="shared" si="9"/>
        <v>294904.8</v>
      </c>
      <c r="H11" s="54">
        <v>327672</v>
      </c>
      <c r="I11" s="55">
        <f t="shared" si="10"/>
        <v>0</v>
      </c>
      <c r="J11" s="56">
        <f t="shared" si="4"/>
        <v>0</v>
      </c>
      <c r="K11" s="57">
        <f t="shared" si="5"/>
        <v>0</v>
      </c>
      <c r="L11" s="65">
        <f t="shared" si="11"/>
        <v>0</v>
      </c>
      <c r="M11" s="58">
        <v>0</v>
      </c>
      <c r="N11" s="59">
        <v>0</v>
      </c>
      <c r="O11" s="71">
        <v>0</v>
      </c>
      <c r="P11" s="72">
        <v>0</v>
      </c>
      <c r="Q11" s="69">
        <v>0</v>
      </c>
      <c r="R11" s="70">
        <v>0</v>
      </c>
    </row>
    <row r="12" spans="1:18" ht="25.5" x14ac:dyDescent="0.25">
      <c r="A12" s="1">
        <v>8</v>
      </c>
      <c r="B12" s="234" t="s">
        <v>15</v>
      </c>
      <c r="C12" s="73" t="s">
        <v>16</v>
      </c>
      <c r="D12" s="74">
        <f>27300</f>
        <v>27300</v>
      </c>
      <c r="E12" s="75">
        <f t="shared" si="1"/>
        <v>0</v>
      </c>
      <c r="F12" s="76">
        <f t="shared" si="2"/>
        <v>0</v>
      </c>
      <c r="G12" s="77">
        <f>H12-D12</f>
        <v>232950</v>
      </c>
      <c r="H12" s="78">
        <f>27300+4050+4050+50400+24000+28800+57600+3150+29400+10500+10500+10500</f>
        <v>260250</v>
      </c>
      <c r="I12" s="79">
        <f>M12-L12</f>
        <v>0</v>
      </c>
      <c r="J12" s="80">
        <f t="shared" si="4"/>
        <v>0</v>
      </c>
      <c r="K12" s="81">
        <f t="shared" si="5"/>
        <v>0</v>
      </c>
      <c r="L12" s="82">
        <f>M12</f>
        <v>0</v>
      </c>
      <c r="M12" s="83">
        <v>0</v>
      </c>
      <c r="N12" s="84">
        <v>0</v>
      </c>
      <c r="O12" s="85">
        <f t="shared" si="7"/>
        <v>0</v>
      </c>
      <c r="P12" s="86">
        <f t="shared" si="8"/>
        <v>0</v>
      </c>
      <c r="Q12" s="87">
        <f>R12-N12</f>
        <v>24407.61</v>
      </c>
      <c r="R12" s="88">
        <v>24407.61</v>
      </c>
    </row>
    <row r="13" spans="1:18" ht="64.5" thickBot="1" x14ac:dyDescent="0.3">
      <c r="A13" s="35"/>
      <c r="B13" s="89"/>
      <c r="C13" s="90" t="s">
        <v>17</v>
      </c>
      <c r="D13" s="91">
        <f>6000+690+660</f>
        <v>7350</v>
      </c>
      <c r="E13" s="92">
        <f t="shared" si="1"/>
        <v>0</v>
      </c>
      <c r="F13" s="93">
        <f t="shared" si="2"/>
        <v>0</v>
      </c>
      <c r="G13" s="94">
        <f>H13-D13</f>
        <v>78780</v>
      </c>
      <c r="H13" s="95">
        <f>6000+15750+15750+3240+6630+14280+690+7500+9120+660+6030+480</f>
        <v>86130</v>
      </c>
      <c r="I13" s="96">
        <f>M13-L13</f>
        <v>0</v>
      </c>
      <c r="J13" s="97">
        <f t="shared" si="4"/>
        <v>0</v>
      </c>
      <c r="K13" s="98">
        <f t="shared" si="5"/>
        <v>0</v>
      </c>
      <c r="L13" s="99">
        <f>M13</f>
        <v>0</v>
      </c>
      <c r="M13" s="100">
        <v>0</v>
      </c>
      <c r="N13" s="101">
        <v>0</v>
      </c>
      <c r="O13" s="102">
        <f t="shared" si="7"/>
        <v>0</v>
      </c>
      <c r="P13" s="103">
        <f t="shared" si="8"/>
        <v>0</v>
      </c>
      <c r="Q13" s="104">
        <f>R13</f>
        <v>25558.36</v>
      </c>
      <c r="R13" s="105">
        <v>25558.36</v>
      </c>
    </row>
    <row r="14" spans="1:18" ht="37.5" x14ac:dyDescent="0.25">
      <c r="A14" s="1">
        <v>9</v>
      </c>
      <c r="B14" s="233" t="s">
        <v>18</v>
      </c>
      <c r="C14" s="73" t="s">
        <v>16</v>
      </c>
      <c r="D14" s="74">
        <f t="shared" si="0"/>
        <v>0</v>
      </c>
      <c r="E14" s="75">
        <f t="shared" si="1"/>
        <v>0</v>
      </c>
      <c r="F14" s="76">
        <f t="shared" si="2"/>
        <v>0</v>
      </c>
      <c r="G14" s="77">
        <v>13440</v>
      </c>
      <c r="H14" s="106">
        <f>6720+6720</f>
        <v>13440</v>
      </c>
      <c r="I14" s="79">
        <f t="shared" ref="I14" si="12">M14-L14</f>
        <v>0</v>
      </c>
      <c r="J14" s="80">
        <f t="shared" si="4"/>
        <v>0</v>
      </c>
      <c r="K14" s="81">
        <f t="shared" si="5"/>
        <v>0</v>
      </c>
      <c r="L14" s="82">
        <v>0</v>
      </c>
      <c r="M14" s="83">
        <v>0</v>
      </c>
      <c r="N14" s="107">
        <f>R14-Q14</f>
        <v>594.41682299999957</v>
      </c>
      <c r="O14" s="108">
        <f t="shared" si="7"/>
        <v>0</v>
      </c>
      <c r="P14" s="109">
        <f t="shared" si="8"/>
        <v>0</v>
      </c>
      <c r="Q14" s="87">
        <f>R14*Q1</f>
        <v>5343.813177</v>
      </c>
      <c r="R14" s="88">
        <f>19788.84-13850.61</f>
        <v>5938.23</v>
      </c>
    </row>
    <row r="15" spans="1:18" ht="64.5" thickBot="1" x14ac:dyDescent="0.3">
      <c r="A15" s="35"/>
      <c r="B15" s="110"/>
      <c r="C15" s="90" t="s">
        <v>17</v>
      </c>
      <c r="D15" s="91">
        <v>5814</v>
      </c>
      <c r="E15" s="92">
        <f t="shared" si="1"/>
        <v>0</v>
      </c>
      <c r="F15" s="93">
        <f t="shared" si="2"/>
        <v>0</v>
      </c>
      <c r="G15" s="94">
        <f>H15-D15</f>
        <v>38886</v>
      </c>
      <c r="H15" s="95">
        <f>25800+13086+5814</f>
        <v>44700</v>
      </c>
      <c r="I15" s="96">
        <v>0</v>
      </c>
      <c r="J15" s="97">
        <v>2497.96</v>
      </c>
      <c r="K15" s="98">
        <v>146.57</v>
      </c>
      <c r="L15" s="99">
        <f>M15</f>
        <v>2644.5299999999997</v>
      </c>
      <c r="M15" s="100">
        <f>1531.35+1113.18</f>
        <v>2644.5299999999997</v>
      </c>
      <c r="N15" s="101">
        <v>0</v>
      </c>
      <c r="O15" s="108">
        <f t="shared" si="7"/>
        <v>0</v>
      </c>
      <c r="P15" s="109">
        <f t="shared" si="8"/>
        <v>0</v>
      </c>
      <c r="Q15" s="104">
        <f>R15</f>
        <v>32683.47</v>
      </c>
      <c r="R15" s="105">
        <v>32683.47</v>
      </c>
    </row>
    <row r="16" spans="1:18" ht="25.5" x14ac:dyDescent="0.25">
      <c r="A16" s="1">
        <v>10</v>
      </c>
      <c r="B16" s="234" t="s">
        <v>19</v>
      </c>
      <c r="C16" s="73" t="s">
        <v>16</v>
      </c>
      <c r="D16" s="74">
        <v>0</v>
      </c>
      <c r="E16" s="75">
        <f t="shared" si="1"/>
        <v>0</v>
      </c>
      <c r="F16" s="76">
        <f t="shared" si="2"/>
        <v>0</v>
      </c>
      <c r="G16" s="77">
        <f>H16</f>
        <v>114600</v>
      </c>
      <c r="H16" s="106">
        <f>4200+12600+8400+8700+6300+12600+18900+18900+24000</f>
        <v>114600</v>
      </c>
      <c r="I16" s="79">
        <v>0</v>
      </c>
      <c r="J16" s="80">
        <f t="shared" si="4"/>
        <v>0</v>
      </c>
      <c r="K16" s="81">
        <f t="shared" si="5"/>
        <v>0</v>
      </c>
      <c r="L16" s="82">
        <f>M16</f>
        <v>3872.75</v>
      </c>
      <c r="M16" s="83">
        <f>3872.75</f>
        <v>3872.75</v>
      </c>
      <c r="N16" s="84">
        <v>0</v>
      </c>
      <c r="O16" s="85">
        <f t="shared" si="7"/>
        <v>0</v>
      </c>
      <c r="P16" s="111">
        <f t="shared" si="8"/>
        <v>0</v>
      </c>
      <c r="Q16" s="112">
        <f>R16</f>
        <v>7562.85</v>
      </c>
      <c r="R16" s="113">
        <v>7562.85</v>
      </c>
    </row>
    <row r="17" spans="1:18" ht="64.5" thickBot="1" x14ac:dyDescent="0.3">
      <c r="A17" s="35"/>
      <c r="B17" s="89"/>
      <c r="C17" s="90" t="s">
        <v>17</v>
      </c>
      <c r="D17" s="91">
        <f>14080+5805+4320+14439.3</f>
        <v>38644.300000000003</v>
      </c>
      <c r="E17" s="92">
        <f t="shared" si="1"/>
        <v>0</v>
      </c>
      <c r="F17" s="93">
        <f t="shared" si="2"/>
        <v>0</v>
      </c>
      <c r="G17" s="94">
        <f>H17-D17</f>
        <v>45605.7</v>
      </c>
      <c r="H17" s="95">
        <f>4320+4320+4320+14080+2160+4320+14580+30150+5805+195</f>
        <v>84250</v>
      </c>
      <c r="I17" s="96">
        <f>M17-L17</f>
        <v>0</v>
      </c>
      <c r="J17" s="97">
        <f t="shared" si="4"/>
        <v>0</v>
      </c>
      <c r="K17" s="98">
        <f t="shared" si="5"/>
        <v>0</v>
      </c>
      <c r="L17" s="99">
        <f>M17*0.9</f>
        <v>0</v>
      </c>
      <c r="M17" s="100">
        <v>0</v>
      </c>
      <c r="N17" s="101">
        <f>R17-Q17</f>
        <v>3520</v>
      </c>
      <c r="O17" s="102">
        <f t="shared" si="7"/>
        <v>0</v>
      </c>
      <c r="P17" s="114">
        <f t="shared" si="8"/>
        <v>0</v>
      </c>
      <c r="Q17" s="115">
        <v>5567.99</v>
      </c>
      <c r="R17" s="116">
        <v>9087.99</v>
      </c>
    </row>
    <row r="18" spans="1:18" ht="25.5" x14ac:dyDescent="0.25">
      <c r="A18" s="1">
        <v>11</v>
      </c>
      <c r="B18" s="234" t="s">
        <v>20</v>
      </c>
      <c r="C18" s="73" t="s">
        <v>16</v>
      </c>
      <c r="D18" s="74">
        <v>0</v>
      </c>
      <c r="E18" s="75">
        <f t="shared" si="1"/>
        <v>0</v>
      </c>
      <c r="F18" s="76">
        <f t="shared" si="2"/>
        <v>0</v>
      </c>
      <c r="G18" s="77">
        <f t="shared" ref="G18:G25" si="13">H18</f>
        <v>127200</v>
      </c>
      <c r="H18" s="106">
        <f>12600+4200+6300+6300+12600+12600+6500+4800+7800+12600+3600+3000+5200+3900+12600+12600</f>
        <v>127200</v>
      </c>
      <c r="I18" s="79">
        <v>0</v>
      </c>
      <c r="J18" s="80">
        <f t="shared" si="4"/>
        <v>0</v>
      </c>
      <c r="K18" s="81">
        <f t="shared" si="5"/>
        <v>0</v>
      </c>
      <c r="L18" s="82">
        <f t="shared" ref="L18:L25" si="14">M18</f>
        <v>0</v>
      </c>
      <c r="M18" s="83">
        <v>0</v>
      </c>
      <c r="N18" s="84">
        <v>0</v>
      </c>
      <c r="O18" s="108">
        <f t="shared" si="7"/>
        <v>0</v>
      </c>
      <c r="P18" s="117">
        <f t="shared" si="8"/>
        <v>0</v>
      </c>
      <c r="Q18" s="67">
        <f>R18</f>
        <v>10232.77</v>
      </c>
      <c r="R18" s="68">
        <v>10232.77</v>
      </c>
    </row>
    <row r="19" spans="1:18" ht="64.5" thickBot="1" x14ac:dyDescent="0.3">
      <c r="A19" s="35"/>
      <c r="B19" s="89"/>
      <c r="C19" s="90" t="s">
        <v>17</v>
      </c>
      <c r="D19" s="91">
        <v>0</v>
      </c>
      <c r="E19" s="92">
        <f t="shared" si="1"/>
        <v>0</v>
      </c>
      <c r="F19" s="93">
        <f t="shared" si="2"/>
        <v>0</v>
      </c>
      <c r="G19" s="94">
        <f t="shared" si="13"/>
        <v>52592.2</v>
      </c>
      <c r="H19" s="95">
        <f>4320+2160+2160+14439.3+4320+4320+2400+2000+2880+4320+720+520+200+200+4500+2512+620.7+0.2</f>
        <v>52592.2</v>
      </c>
      <c r="I19" s="96">
        <v>0</v>
      </c>
      <c r="J19" s="97">
        <f t="shared" si="4"/>
        <v>0</v>
      </c>
      <c r="K19" s="98">
        <f t="shared" si="5"/>
        <v>0</v>
      </c>
      <c r="L19" s="99">
        <f t="shared" si="14"/>
        <v>0</v>
      </c>
      <c r="M19" s="100">
        <v>0</v>
      </c>
      <c r="N19" s="101">
        <f>R19-Q19</f>
        <v>416.6302139999998</v>
      </c>
      <c r="O19" s="118">
        <f t="shared" si="7"/>
        <v>0</v>
      </c>
      <c r="P19" s="119">
        <f t="shared" si="8"/>
        <v>0</v>
      </c>
      <c r="Q19" s="115">
        <f>R19*Q1</f>
        <v>3745.5097860000005</v>
      </c>
      <c r="R19" s="116">
        <v>4162.1400000000003</v>
      </c>
    </row>
    <row r="20" spans="1:18" ht="37.5" x14ac:dyDescent="0.25">
      <c r="A20" s="1">
        <v>12</v>
      </c>
      <c r="B20" s="233" t="s">
        <v>21</v>
      </c>
      <c r="C20" s="73" t="s">
        <v>16</v>
      </c>
      <c r="D20" s="74">
        <f t="shared" si="0"/>
        <v>0</v>
      </c>
      <c r="E20" s="75">
        <f t="shared" si="1"/>
        <v>0</v>
      </c>
      <c r="F20" s="76">
        <f t="shared" si="2"/>
        <v>0</v>
      </c>
      <c r="G20" s="77">
        <f t="shared" si="13"/>
        <v>15600</v>
      </c>
      <c r="H20" s="106">
        <f>3900+3900+7800</f>
        <v>15600</v>
      </c>
      <c r="I20" s="79">
        <f t="shared" ref="I20:I27" si="15">M20-L20</f>
        <v>0</v>
      </c>
      <c r="J20" s="80">
        <f t="shared" si="4"/>
        <v>0</v>
      </c>
      <c r="K20" s="81">
        <f t="shared" si="5"/>
        <v>0</v>
      </c>
      <c r="L20" s="82">
        <f t="shared" si="14"/>
        <v>0</v>
      </c>
      <c r="M20" s="83">
        <v>0</v>
      </c>
      <c r="N20" s="84">
        <f t="shared" ref="N20:N27" si="16">R20-Q20</f>
        <v>392.52212999999983</v>
      </c>
      <c r="O20" s="71">
        <f t="shared" si="7"/>
        <v>0</v>
      </c>
      <c r="P20" s="120">
        <f t="shared" si="8"/>
        <v>0</v>
      </c>
      <c r="Q20" s="67">
        <f>R20*Q1</f>
        <v>3528.7778700000003</v>
      </c>
      <c r="R20" s="68">
        <f>1800+1800+3600-3278.7</f>
        <v>3921.3</v>
      </c>
    </row>
    <row r="21" spans="1:18" ht="64.5" thickBot="1" x14ac:dyDescent="0.3">
      <c r="A21" s="35"/>
      <c r="B21" s="110"/>
      <c r="C21" s="90" t="s">
        <v>17</v>
      </c>
      <c r="D21" s="91">
        <f t="shared" si="0"/>
        <v>0</v>
      </c>
      <c r="E21" s="92">
        <f t="shared" si="1"/>
        <v>0</v>
      </c>
      <c r="F21" s="93">
        <f t="shared" si="2"/>
        <v>0</v>
      </c>
      <c r="G21" s="94">
        <f t="shared" si="13"/>
        <v>2240</v>
      </c>
      <c r="H21" s="95">
        <f>1040+1200</f>
        <v>2240</v>
      </c>
      <c r="I21" s="96">
        <f t="shared" si="15"/>
        <v>0</v>
      </c>
      <c r="J21" s="97">
        <f t="shared" si="4"/>
        <v>0</v>
      </c>
      <c r="K21" s="98">
        <f t="shared" si="5"/>
        <v>0</v>
      </c>
      <c r="L21" s="99">
        <f t="shared" si="14"/>
        <v>0</v>
      </c>
      <c r="M21" s="100">
        <v>0</v>
      </c>
      <c r="N21" s="101">
        <f t="shared" si="16"/>
        <v>0</v>
      </c>
      <c r="O21" s="118">
        <v>0</v>
      </c>
      <c r="P21" s="119">
        <v>0</v>
      </c>
      <c r="Q21" s="115">
        <v>0</v>
      </c>
      <c r="R21" s="116">
        <v>0</v>
      </c>
    </row>
    <row r="22" spans="1:18" ht="38.25" thickBot="1" x14ac:dyDescent="0.3">
      <c r="A22" s="47">
        <v>13</v>
      </c>
      <c r="B22" s="232" t="s">
        <v>22</v>
      </c>
      <c r="C22" s="73" t="s">
        <v>16</v>
      </c>
      <c r="D22" s="50">
        <f t="shared" si="0"/>
        <v>0</v>
      </c>
      <c r="E22" s="51">
        <f t="shared" si="1"/>
        <v>0</v>
      </c>
      <c r="F22" s="52">
        <f t="shared" si="2"/>
        <v>0</v>
      </c>
      <c r="G22" s="64">
        <f t="shared" si="13"/>
        <v>16800</v>
      </c>
      <c r="H22" s="121">
        <v>16800</v>
      </c>
      <c r="I22" s="55">
        <f t="shared" si="15"/>
        <v>0</v>
      </c>
      <c r="J22" s="56">
        <f t="shared" si="4"/>
        <v>0</v>
      </c>
      <c r="K22" s="57">
        <f t="shared" si="5"/>
        <v>0</v>
      </c>
      <c r="L22" s="65">
        <f t="shared" si="14"/>
        <v>0</v>
      </c>
      <c r="M22" s="58">
        <v>0</v>
      </c>
      <c r="N22" s="59">
        <f>R22-Q22</f>
        <v>368.45208400000001</v>
      </c>
      <c r="O22" s="60">
        <f t="shared" si="7"/>
        <v>0</v>
      </c>
      <c r="P22" s="61">
        <f t="shared" si="8"/>
        <v>0</v>
      </c>
      <c r="Q22" s="66">
        <f>R22*Q1</f>
        <v>3312.3879160000001</v>
      </c>
      <c r="R22" s="63">
        <v>3680.84</v>
      </c>
    </row>
    <row r="23" spans="1:18" ht="63.75" x14ac:dyDescent="0.25">
      <c r="A23" s="1">
        <v>14</v>
      </c>
      <c r="B23" s="233" t="s">
        <v>23</v>
      </c>
      <c r="C23" s="73" t="s">
        <v>24</v>
      </c>
      <c r="D23" s="74">
        <f t="shared" si="0"/>
        <v>0</v>
      </c>
      <c r="E23" s="75">
        <f t="shared" si="1"/>
        <v>0</v>
      </c>
      <c r="F23" s="76">
        <f t="shared" si="2"/>
        <v>0</v>
      </c>
      <c r="G23" s="77">
        <f t="shared" si="13"/>
        <v>1120100</v>
      </c>
      <c r="H23" s="78">
        <f>207000+381800+324300+207000</f>
        <v>1120100</v>
      </c>
      <c r="I23" s="79">
        <f t="shared" si="15"/>
        <v>0</v>
      </c>
      <c r="J23" s="80">
        <f t="shared" si="4"/>
        <v>0</v>
      </c>
      <c r="K23" s="81">
        <f t="shared" si="5"/>
        <v>0</v>
      </c>
      <c r="L23" s="82">
        <f t="shared" si="14"/>
        <v>0</v>
      </c>
      <c r="M23" s="83">
        <v>0</v>
      </c>
      <c r="N23" s="84">
        <f t="shared" si="16"/>
        <v>0</v>
      </c>
      <c r="O23" s="71">
        <f t="shared" si="7"/>
        <v>0</v>
      </c>
      <c r="P23" s="120">
        <f t="shared" si="8"/>
        <v>0</v>
      </c>
      <c r="Q23" s="67">
        <f>R23</f>
        <v>367708.68</v>
      </c>
      <c r="R23" s="68">
        <v>367708.68</v>
      </c>
    </row>
    <row r="24" spans="1:18" ht="51" x14ac:dyDescent="0.25">
      <c r="A24" s="15"/>
      <c r="B24" s="122"/>
      <c r="C24" s="123" t="s">
        <v>25</v>
      </c>
      <c r="D24" s="124">
        <f t="shared" si="0"/>
        <v>0</v>
      </c>
      <c r="E24" s="125">
        <f t="shared" si="1"/>
        <v>0</v>
      </c>
      <c r="F24" s="126">
        <f t="shared" si="2"/>
        <v>0</v>
      </c>
      <c r="G24" s="127">
        <f t="shared" si="13"/>
        <v>243500</v>
      </c>
      <c r="H24" s="128">
        <f>45000+83000+70500+45000</f>
        <v>243500</v>
      </c>
      <c r="I24" s="129">
        <f t="shared" si="15"/>
        <v>0</v>
      </c>
      <c r="J24" s="130">
        <f t="shared" si="4"/>
        <v>0</v>
      </c>
      <c r="K24" s="131">
        <f t="shared" si="5"/>
        <v>0</v>
      </c>
      <c r="L24" s="132">
        <f t="shared" si="14"/>
        <v>0</v>
      </c>
      <c r="M24" s="133">
        <v>0</v>
      </c>
      <c r="N24" s="107">
        <f t="shared" si="16"/>
        <v>0</v>
      </c>
      <c r="O24" s="108">
        <f t="shared" si="7"/>
        <v>0</v>
      </c>
      <c r="P24" s="117">
        <f t="shared" si="8"/>
        <v>0</v>
      </c>
      <c r="Q24" s="112">
        <f t="shared" ref="Q23:Q25" si="17">R24</f>
        <v>70861.899999999994</v>
      </c>
      <c r="R24" s="113">
        <v>70861.899999999994</v>
      </c>
    </row>
    <row r="25" spans="1:18" ht="90" thickBot="1" x14ac:dyDescent="0.3">
      <c r="A25" s="35"/>
      <c r="B25" s="110"/>
      <c r="C25" s="134" t="s">
        <v>26</v>
      </c>
      <c r="D25" s="91">
        <f t="shared" si="0"/>
        <v>0</v>
      </c>
      <c r="E25" s="92">
        <f t="shared" si="1"/>
        <v>0</v>
      </c>
      <c r="F25" s="93">
        <f t="shared" si="2"/>
        <v>0</v>
      </c>
      <c r="G25" s="94">
        <f t="shared" si="13"/>
        <v>243500</v>
      </c>
      <c r="H25" s="135">
        <f>45000+83000+70500+45000</f>
        <v>243500</v>
      </c>
      <c r="I25" s="96">
        <f t="shared" si="15"/>
        <v>0</v>
      </c>
      <c r="J25" s="97">
        <f t="shared" si="4"/>
        <v>0</v>
      </c>
      <c r="K25" s="98">
        <f t="shared" si="5"/>
        <v>0</v>
      </c>
      <c r="L25" s="99">
        <f t="shared" si="14"/>
        <v>0</v>
      </c>
      <c r="M25" s="100">
        <v>0</v>
      </c>
      <c r="N25" s="101">
        <f t="shared" si="16"/>
        <v>0</v>
      </c>
      <c r="O25" s="118">
        <f t="shared" si="7"/>
        <v>0</v>
      </c>
      <c r="P25" s="119">
        <f t="shared" si="8"/>
        <v>0</v>
      </c>
      <c r="Q25" s="115">
        <f t="shared" si="17"/>
        <v>79495.58</v>
      </c>
      <c r="R25" s="116">
        <v>79495.58</v>
      </c>
    </row>
    <row r="26" spans="1:18" ht="19.5" thickBot="1" x14ac:dyDescent="0.3">
      <c r="A26" s="47">
        <v>15</v>
      </c>
      <c r="B26" s="232" t="s">
        <v>27</v>
      </c>
      <c r="C26" s="136"/>
      <c r="D26" s="50">
        <f t="shared" si="0"/>
        <v>450000</v>
      </c>
      <c r="E26" s="51">
        <f t="shared" si="1"/>
        <v>0</v>
      </c>
      <c r="F26" s="52">
        <f t="shared" si="2"/>
        <v>0</v>
      </c>
      <c r="G26" s="64">
        <v>0</v>
      </c>
      <c r="H26" s="54">
        <v>450000</v>
      </c>
      <c r="I26" s="55">
        <f t="shared" si="15"/>
        <v>60000</v>
      </c>
      <c r="J26" s="56">
        <f t="shared" si="4"/>
        <v>0</v>
      </c>
      <c r="K26" s="57">
        <f t="shared" si="5"/>
        <v>0</v>
      </c>
      <c r="L26" s="65">
        <v>0</v>
      </c>
      <c r="M26" s="58">
        <f>15000+15000+15000+15000</f>
        <v>60000</v>
      </c>
      <c r="N26" s="59">
        <f t="shared" si="16"/>
        <v>150000</v>
      </c>
      <c r="O26" s="60">
        <f t="shared" si="7"/>
        <v>0</v>
      </c>
      <c r="P26" s="61">
        <f t="shared" si="8"/>
        <v>0</v>
      </c>
      <c r="Q26" s="66">
        <v>0</v>
      </c>
      <c r="R26" s="63">
        <v>150000</v>
      </c>
    </row>
    <row r="27" spans="1:18" ht="19.5" thickBot="1" x14ac:dyDescent="0.3">
      <c r="A27" s="47">
        <v>16</v>
      </c>
      <c r="B27" s="235" t="s">
        <v>28</v>
      </c>
      <c r="C27" s="137" t="s">
        <v>9</v>
      </c>
      <c r="D27" s="50">
        <f t="shared" si="0"/>
        <v>0</v>
      </c>
      <c r="E27" s="51">
        <f t="shared" si="1"/>
        <v>0</v>
      </c>
      <c r="F27" s="52">
        <f t="shared" si="2"/>
        <v>0</v>
      </c>
      <c r="G27" s="64">
        <f>H27</f>
        <v>191082.6</v>
      </c>
      <c r="H27" s="54">
        <v>191082.6</v>
      </c>
      <c r="I27" s="55">
        <f t="shared" si="15"/>
        <v>0</v>
      </c>
      <c r="J27" s="56">
        <f t="shared" si="4"/>
        <v>0</v>
      </c>
      <c r="K27" s="57">
        <f t="shared" si="5"/>
        <v>0</v>
      </c>
      <c r="L27" s="65">
        <f t="shared" ref="L27:L32" si="18">M27</f>
        <v>0</v>
      </c>
      <c r="M27" s="58">
        <v>0</v>
      </c>
      <c r="N27" s="59">
        <f t="shared" si="16"/>
        <v>0</v>
      </c>
      <c r="O27" s="60">
        <f t="shared" si="7"/>
        <v>0</v>
      </c>
      <c r="P27" s="61">
        <f t="shared" si="8"/>
        <v>0</v>
      </c>
      <c r="Q27" s="66">
        <f>R27</f>
        <v>0</v>
      </c>
      <c r="R27" s="63">
        <v>0</v>
      </c>
    </row>
    <row r="28" spans="1:18" ht="19.5" thickBot="1" x14ac:dyDescent="0.3">
      <c r="A28" s="138">
        <v>17</v>
      </c>
      <c r="B28" s="236" t="s">
        <v>29</v>
      </c>
      <c r="C28" s="139" t="s">
        <v>30</v>
      </c>
      <c r="D28" s="140">
        <f>30000+18450+6000</f>
        <v>54450</v>
      </c>
      <c r="E28" s="141">
        <f t="shared" si="1"/>
        <v>0</v>
      </c>
      <c r="F28" s="142">
        <f t="shared" si="2"/>
        <v>0</v>
      </c>
      <c r="G28" s="143">
        <f>H28-D28</f>
        <v>563184.01</v>
      </c>
      <c r="H28" s="144">
        <v>617634.01</v>
      </c>
      <c r="I28" s="145">
        <v>0</v>
      </c>
      <c r="J28" s="141">
        <f t="shared" si="4"/>
        <v>0</v>
      </c>
      <c r="K28" s="142">
        <f t="shared" si="5"/>
        <v>0</v>
      </c>
      <c r="L28" s="143">
        <f t="shared" si="18"/>
        <v>40990</v>
      </c>
      <c r="M28" s="146">
        <v>40990</v>
      </c>
      <c r="N28" s="147">
        <f>8364</f>
        <v>8364</v>
      </c>
      <c r="O28" s="145">
        <v>237928.16</v>
      </c>
      <c r="P28" s="142">
        <v>13959.84</v>
      </c>
      <c r="Q28" s="143">
        <v>251888</v>
      </c>
      <c r="R28" s="148">
        <v>260252</v>
      </c>
    </row>
    <row r="29" spans="1:18" ht="19.5" thickBot="1" x14ac:dyDescent="0.3">
      <c r="A29" s="138">
        <v>18</v>
      </c>
      <c r="B29" s="237" t="s">
        <v>31</v>
      </c>
      <c r="C29" s="139" t="s">
        <v>30</v>
      </c>
      <c r="D29" s="140">
        <f t="shared" si="0"/>
        <v>0</v>
      </c>
      <c r="E29" s="141">
        <f t="shared" si="1"/>
        <v>0</v>
      </c>
      <c r="F29" s="142">
        <f t="shared" si="2"/>
        <v>0</v>
      </c>
      <c r="G29" s="143">
        <f>H29</f>
        <v>368433.02</v>
      </c>
      <c r="H29" s="144">
        <v>368433.02</v>
      </c>
      <c r="I29" s="145">
        <f t="shared" ref="I29:I32" si="19">M29-L29</f>
        <v>0</v>
      </c>
      <c r="J29" s="141">
        <f t="shared" si="4"/>
        <v>0</v>
      </c>
      <c r="K29" s="142">
        <f t="shared" si="5"/>
        <v>0</v>
      </c>
      <c r="L29" s="143">
        <f t="shared" si="18"/>
        <v>0</v>
      </c>
      <c r="M29" s="146">
        <v>0</v>
      </c>
      <c r="N29" s="147">
        <f t="shared" ref="N29:N32" si="20">R29-Q29</f>
        <v>0</v>
      </c>
      <c r="O29" s="141">
        <f t="shared" ref="O29:O30" si="21">Q29*$F$55</f>
        <v>0</v>
      </c>
      <c r="P29" s="142">
        <f t="shared" si="8"/>
        <v>0</v>
      </c>
      <c r="Q29" s="143">
        <f>R29</f>
        <v>51770</v>
      </c>
      <c r="R29" s="148">
        <f>368433.02-316663.02</f>
        <v>51770</v>
      </c>
    </row>
    <row r="30" spans="1:18" ht="19.5" thickBot="1" x14ac:dyDescent="0.3">
      <c r="A30" s="138">
        <v>19</v>
      </c>
      <c r="B30" s="236" t="s">
        <v>32</v>
      </c>
      <c r="C30" s="139" t="s">
        <v>30</v>
      </c>
      <c r="D30" s="140">
        <f t="shared" si="0"/>
        <v>0</v>
      </c>
      <c r="E30" s="141">
        <f t="shared" si="1"/>
        <v>0</v>
      </c>
      <c r="F30" s="142">
        <f t="shared" si="2"/>
        <v>0</v>
      </c>
      <c r="G30" s="143">
        <f>H30</f>
        <v>218000</v>
      </c>
      <c r="H30" s="144">
        <v>218000</v>
      </c>
      <c r="I30" s="145">
        <f t="shared" si="19"/>
        <v>0</v>
      </c>
      <c r="J30" s="141">
        <f t="shared" si="4"/>
        <v>0</v>
      </c>
      <c r="K30" s="142">
        <f t="shared" si="5"/>
        <v>0</v>
      </c>
      <c r="L30" s="143">
        <f t="shared" si="18"/>
        <v>0</v>
      </c>
      <c r="M30" s="146">
        <v>0</v>
      </c>
      <c r="N30" s="147">
        <f t="shared" si="20"/>
        <v>0</v>
      </c>
      <c r="O30" s="141">
        <f t="shared" si="21"/>
        <v>0</v>
      </c>
      <c r="P30" s="142">
        <f t="shared" si="8"/>
        <v>0</v>
      </c>
      <c r="Q30" s="143">
        <f>R30</f>
        <v>88324.63</v>
      </c>
      <c r="R30" s="148">
        <f>218000-129675.37</f>
        <v>88324.63</v>
      </c>
    </row>
    <row r="31" spans="1:18" ht="19.5" thickBot="1" x14ac:dyDescent="0.3">
      <c r="A31" s="138">
        <v>20</v>
      </c>
      <c r="B31" s="236" t="s">
        <v>33</v>
      </c>
      <c r="C31" s="139" t="s">
        <v>30</v>
      </c>
      <c r="D31" s="140">
        <f t="shared" si="0"/>
        <v>0</v>
      </c>
      <c r="E31" s="141">
        <f t="shared" si="1"/>
        <v>0</v>
      </c>
      <c r="F31" s="142">
        <f t="shared" si="2"/>
        <v>0</v>
      </c>
      <c r="G31" s="143">
        <f>H31</f>
        <v>68000</v>
      </c>
      <c r="H31" s="144">
        <v>68000</v>
      </c>
      <c r="I31" s="145">
        <f t="shared" si="19"/>
        <v>0</v>
      </c>
      <c r="J31" s="141">
        <f t="shared" si="4"/>
        <v>0</v>
      </c>
      <c r="K31" s="142">
        <f t="shared" si="5"/>
        <v>0</v>
      </c>
      <c r="L31" s="143">
        <f t="shared" si="18"/>
        <v>0</v>
      </c>
      <c r="M31" s="146">
        <v>0</v>
      </c>
      <c r="N31" s="147">
        <f t="shared" si="20"/>
        <v>0</v>
      </c>
      <c r="O31" s="141">
        <f t="shared" si="7"/>
        <v>0</v>
      </c>
      <c r="P31" s="142">
        <f t="shared" si="8"/>
        <v>0</v>
      </c>
      <c r="Q31" s="143">
        <f>R31</f>
        <v>68000</v>
      </c>
      <c r="R31" s="148">
        <v>68000</v>
      </c>
    </row>
    <row r="32" spans="1:18" ht="19.5" thickBot="1" x14ac:dyDescent="0.3">
      <c r="A32" s="138">
        <v>21</v>
      </c>
      <c r="B32" s="236" t="s">
        <v>34</v>
      </c>
      <c r="C32" s="139" t="s">
        <v>30</v>
      </c>
      <c r="D32" s="140">
        <f t="shared" si="0"/>
        <v>0</v>
      </c>
      <c r="E32" s="141">
        <f t="shared" si="1"/>
        <v>0</v>
      </c>
      <c r="F32" s="142">
        <f t="shared" si="2"/>
        <v>0</v>
      </c>
      <c r="G32" s="143">
        <f>H32</f>
        <v>421502.06</v>
      </c>
      <c r="H32" s="144">
        <v>421502.06</v>
      </c>
      <c r="I32" s="145">
        <f t="shared" si="19"/>
        <v>0</v>
      </c>
      <c r="J32" s="141">
        <f t="shared" si="4"/>
        <v>0</v>
      </c>
      <c r="K32" s="142">
        <f>L32*$F$56</f>
        <v>0</v>
      </c>
      <c r="L32" s="143">
        <f>M32</f>
        <v>181465.05</v>
      </c>
      <c r="M32" s="146">
        <v>181465.05</v>
      </c>
      <c r="N32" s="147">
        <f t="shared" si="20"/>
        <v>0</v>
      </c>
      <c r="O32" s="141">
        <f t="shared" si="7"/>
        <v>0</v>
      </c>
      <c r="P32" s="142">
        <f t="shared" si="8"/>
        <v>0</v>
      </c>
      <c r="Q32" s="143">
        <f>R32</f>
        <v>240037</v>
      </c>
      <c r="R32" s="148">
        <v>240037</v>
      </c>
    </row>
    <row r="33" spans="1:18" ht="38.25" thickBot="1" x14ac:dyDescent="0.3">
      <c r="A33" s="47">
        <v>22</v>
      </c>
      <c r="B33" s="238" t="s">
        <v>35</v>
      </c>
      <c r="C33" s="136" t="s">
        <v>9</v>
      </c>
      <c r="D33" s="50">
        <f t="shared" si="0"/>
        <v>1930</v>
      </c>
      <c r="E33" s="51">
        <f t="shared" si="1"/>
        <v>0</v>
      </c>
      <c r="F33" s="52">
        <f t="shared" si="2"/>
        <v>0</v>
      </c>
      <c r="G33" s="149">
        <f>H33*0.9</f>
        <v>17370</v>
      </c>
      <c r="H33" s="121">
        <v>19300</v>
      </c>
      <c r="I33" s="55">
        <v>0</v>
      </c>
      <c r="J33" s="56">
        <f t="shared" si="4"/>
        <v>0</v>
      </c>
      <c r="K33" s="57">
        <f t="shared" si="5"/>
        <v>0</v>
      </c>
      <c r="L33" s="65">
        <v>0</v>
      </c>
      <c r="M33" s="58">
        <v>0</v>
      </c>
      <c r="N33" s="59">
        <v>0</v>
      </c>
      <c r="O33" s="60">
        <f>Q33*J57</f>
        <v>0</v>
      </c>
      <c r="P33" s="61">
        <f>Q33*J58</f>
        <v>0</v>
      </c>
      <c r="Q33" s="66">
        <v>0</v>
      </c>
      <c r="R33" s="63">
        <v>0</v>
      </c>
    </row>
    <row r="34" spans="1:18" ht="38.25" thickBot="1" x14ac:dyDescent="0.3">
      <c r="A34" s="47">
        <v>23</v>
      </c>
      <c r="B34" s="238" t="s">
        <v>36</v>
      </c>
      <c r="C34" s="136" t="s">
        <v>9</v>
      </c>
      <c r="D34" s="50">
        <f t="shared" si="0"/>
        <v>2688</v>
      </c>
      <c r="E34" s="51">
        <f t="shared" si="1"/>
        <v>0</v>
      </c>
      <c r="F34" s="52">
        <f t="shared" si="2"/>
        <v>0</v>
      </c>
      <c r="G34" s="149">
        <f>H34*0.9</f>
        <v>24192</v>
      </c>
      <c r="H34" s="121">
        <v>26880</v>
      </c>
      <c r="I34" s="55">
        <f t="shared" ref="I34" si="22">M34-L34</f>
        <v>0</v>
      </c>
      <c r="J34" s="56">
        <f t="shared" si="4"/>
        <v>0</v>
      </c>
      <c r="K34" s="57">
        <f t="shared" si="5"/>
        <v>0</v>
      </c>
      <c r="L34" s="65">
        <f>M34*0.9</f>
        <v>0</v>
      </c>
      <c r="M34" s="58">
        <v>0</v>
      </c>
      <c r="N34" s="84">
        <f t="shared" ref="N34" si="23">R34-Q34</f>
        <v>0</v>
      </c>
      <c r="O34" s="71">
        <f t="shared" si="7"/>
        <v>0</v>
      </c>
      <c r="P34" s="120">
        <f t="shared" si="8"/>
        <v>0</v>
      </c>
      <c r="Q34" s="67">
        <f>R34</f>
        <v>7000</v>
      </c>
      <c r="R34" s="68">
        <v>7000</v>
      </c>
    </row>
    <row r="35" spans="1:18" ht="26.25" thickBot="1" x14ac:dyDescent="0.3">
      <c r="A35" s="1">
        <v>24</v>
      </c>
      <c r="B35" s="239" t="s">
        <v>37</v>
      </c>
      <c r="C35" s="150" t="s">
        <v>16</v>
      </c>
      <c r="D35" s="74">
        <v>0</v>
      </c>
      <c r="E35" s="75">
        <f t="shared" si="1"/>
        <v>0</v>
      </c>
      <c r="F35" s="76">
        <f t="shared" si="2"/>
        <v>0</v>
      </c>
      <c r="G35" s="151">
        <f>H35</f>
        <v>27300</v>
      </c>
      <c r="H35" s="106">
        <f>4200+4200+10500+4200+4200</f>
        <v>27300</v>
      </c>
      <c r="I35" s="79">
        <v>0</v>
      </c>
      <c r="J35" s="80">
        <f t="shared" si="4"/>
        <v>0</v>
      </c>
      <c r="K35" s="81">
        <f t="shared" si="5"/>
        <v>0</v>
      </c>
      <c r="L35" s="82">
        <f t="shared" ref="L35:L40" si="24">M35</f>
        <v>7392.05</v>
      </c>
      <c r="M35" s="83">
        <f>7392.05</f>
        <v>7392.05</v>
      </c>
      <c r="N35" s="84">
        <f>R35-Q35</f>
        <v>0</v>
      </c>
      <c r="O35" s="71">
        <f>Q35*J57</f>
        <v>0</v>
      </c>
      <c r="P35" s="120">
        <f>Q35*J58</f>
        <v>0</v>
      </c>
      <c r="Q35" s="67">
        <f>R35</f>
        <v>11161.65</v>
      </c>
      <c r="R35" s="68">
        <v>11161.65</v>
      </c>
    </row>
    <row r="36" spans="1:18" ht="64.5" thickBot="1" x14ac:dyDescent="0.3">
      <c r="A36" s="35"/>
      <c r="B36" s="152"/>
      <c r="C36" s="153" t="s">
        <v>17</v>
      </c>
      <c r="D36" s="91">
        <f>12810+3390</f>
        <v>16200</v>
      </c>
      <c r="E36" s="92">
        <f t="shared" si="1"/>
        <v>0</v>
      </c>
      <c r="F36" s="93">
        <f t="shared" si="2"/>
        <v>0</v>
      </c>
      <c r="G36" s="154">
        <f>H36-D36</f>
        <v>84600</v>
      </c>
      <c r="H36" s="95">
        <f>4500+12810+46800+20700+12600+3390</f>
        <v>100800</v>
      </c>
      <c r="I36" s="96">
        <v>3755.5</v>
      </c>
      <c r="J36" s="97">
        <f t="shared" si="4"/>
        <v>0</v>
      </c>
      <c r="K36" s="98">
        <f t="shared" si="5"/>
        <v>0</v>
      </c>
      <c r="L36" s="99">
        <f>M36-3755.5</f>
        <v>63136.179999999993</v>
      </c>
      <c r="M36" s="100">
        <f>66891.68</f>
        <v>66891.679999999993</v>
      </c>
      <c r="N36" s="101">
        <f>R36-Q36+165.98</f>
        <v>5761.0799999999981</v>
      </c>
      <c r="O36" s="118">
        <f>Q36*J57-156.78+0.1</f>
        <v>-156.68</v>
      </c>
      <c r="P36" s="119">
        <f>Q36*J58-9.2-0.1</f>
        <v>-9.2999999999999989</v>
      </c>
      <c r="Q36" s="115">
        <v>15061.57</v>
      </c>
      <c r="R36" s="116">
        <v>20656.669999999998</v>
      </c>
    </row>
    <row r="37" spans="1:18" ht="38.25" thickBot="1" x14ac:dyDescent="0.3">
      <c r="A37" s="47">
        <v>25</v>
      </c>
      <c r="B37" s="238" t="s">
        <v>38</v>
      </c>
      <c r="C37" s="73" t="s">
        <v>16</v>
      </c>
      <c r="D37" s="50">
        <f t="shared" si="0"/>
        <v>0</v>
      </c>
      <c r="E37" s="51">
        <f t="shared" si="1"/>
        <v>0</v>
      </c>
      <c r="F37" s="52">
        <f t="shared" si="2"/>
        <v>0</v>
      </c>
      <c r="G37" s="149">
        <f>H37</f>
        <v>7440</v>
      </c>
      <c r="H37" s="121">
        <v>7440</v>
      </c>
      <c r="I37" s="55">
        <f t="shared" ref="I37:I45" si="25">M37-L37</f>
        <v>0</v>
      </c>
      <c r="J37" s="56">
        <f t="shared" si="4"/>
        <v>0</v>
      </c>
      <c r="K37" s="57">
        <f t="shared" si="5"/>
        <v>0</v>
      </c>
      <c r="L37" s="65">
        <f t="shared" si="24"/>
        <v>0</v>
      </c>
      <c r="M37" s="58">
        <v>0</v>
      </c>
      <c r="N37" s="101">
        <f t="shared" ref="N37:N45" si="26">R37-Q37</f>
        <v>0</v>
      </c>
      <c r="O37" s="118">
        <f t="shared" si="7"/>
        <v>0</v>
      </c>
      <c r="P37" s="119">
        <f t="shared" si="8"/>
        <v>0</v>
      </c>
      <c r="Q37" s="115">
        <f>R37</f>
        <v>1113.1300000000001</v>
      </c>
      <c r="R37" s="116">
        <v>1113.1300000000001</v>
      </c>
    </row>
    <row r="38" spans="1:18" ht="63.75" x14ac:dyDescent="0.25">
      <c r="A38" s="1">
        <v>26</v>
      </c>
      <c r="B38" s="240" t="s">
        <v>39</v>
      </c>
      <c r="C38" s="73" t="s">
        <v>24</v>
      </c>
      <c r="D38" s="74">
        <f t="shared" si="0"/>
        <v>0</v>
      </c>
      <c r="E38" s="75">
        <f t="shared" si="1"/>
        <v>0</v>
      </c>
      <c r="F38" s="76">
        <f t="shared" si="2"/>
        <v>0</v>
      </c>
      <c r="G38" s="151">
        <f>H38</f>
        <v>41400</v>
      </c>
      <c r="H38" s="106">
        <v>41400</v>
      </c>
      <c r="I38" s="79">
        <f t="shared" si="25"/>
        <v>0</v>
      </c>
      <c r="J38" s="80">
        <f t="shared" si="4"/>
        <v>0</v>
      </c>
      <c r="K38" s="81">
        <f t="shared" si="5"/>
        <v>0</v>
      </c>
      <c r="L38" s="82">
        <f t="shared" si="24"/>
        <v>0</v>
      </c>
      <c r="M38" s="83">
        <v>0</v>
      </c>
      <c r="N38" s="84">
        <f t="shared" si="26"/>
        <v>0</v>
      </c>
      <c r="O38" s="71">
        <f t="shared" si="7"/>
        <v>0</v>
      </c>
      <c r="P38" s="120">
        <f t="shared" si="8"/>
        <v>0</v>
      </c>
      <c r="Q38" s="67">
        <f>R38</f>
        <v>13800</v>
      </c>
      <c r="R38" s="68">
        <f>13800</f>
        <v>13800</v>
      </c>
    </row>
    <row r="39" spans="1:18" ht="51" x14ac:dyDescent="0.25">
      <c r="A39" s="15"/>
      <c r="B39" s="155"/>
      <c r="C39" s="123" t="s">
        <v>25</v>
      </c>
      <c r="D39" s="124">
        <f t="shared" si="0"/>
        <v>0</v>
      </c>
      <c r="E39" s="125">
        <f t="shared" si="1"/>
        <v>0</v>
      </c>
      <c r="F39" s="126">
        <f t="shared" si="2"/>
        <v>0</v>
      </c>
      <c r="G39" s="156">
        <f>H39</f>
        <v>18000</v>
      </c>
      <c r="H39" s="157">
        <v>18000</v>
      </c>
      <c r="I39" s="129">
        <f t="shared" si="25"/>
        <v>0</v>
      </c>
      <c r="J39" s="130">
        <f t="shared" si="4"/>
        <v>0</v>
      </c>
      <c r="K39" s="131">
        <f t="shared" si="5"/>
        <v>0</v>
      </c>
      <c r="L39" s="132">
        <f t="shared" si="24"/>
        <v>0</v>
      </c>
      <c r="M39" s="133">
        <v>0</v>
      </c>
      <c r="N39" s="107">
        <f t="shared" si="26"/>
        <v>0</v>
      </c>
      <c r="O39" s="108">
        <f t="shared" si="7"/>
        <v>0</v>
      </c>
      <c r="P39" s="117">
        <f t="shared" si="8"/>
        <v>0</v>
      </c>
      <c r="Q39" s="112">
        <f>R39</f>
        <v>6000</v>
      </c>
      <c r="R39" s="113">
        <v>6000</v>
      </c>
    </row>
    <row r="40" spans="1:18" ht="90" thickBot="1" x14ac:dyDescent="0.3">
      <c r="A40" s="35"/>
      <c r="B40" s="158"/>
      <c r="C40" s="134" t="s">
        <v>26</v>
      </c>
      <c r="D40" s="91">
        <f t="shared" si="0"/>
        <v>0</v>
      </c>
      <c r="E40" s="92">
        <f t="shared" si="1"/>
        <v>0</v>
      </c>
      <c r="F40" s="93">
        <f t="shared" si="2"/>
        <v>0</v>
      </c>
      <c r="G40" s="154">
        <f>H40</f>
        <v>18000</v>
      </c>
      <c r="H40" s="95">
        <v>18000</v>
      </c>
      <c r="I40" s="96">
        <f t="shared" si="25"/>
        <v>0</v>
      </c>
      <c r="J40" s="97">
        <f t="shared" si="4"/>
        <v>0</v>
      </c>
      <c r="K40" s="98">
        <f t="shared" si="5"/>
        <v>0</v>
      </c>
      <c r="L40" s="99">
        <f t="shared" si="24"/>
        <v>0</v>
      </c>
      <c r="M40" s="100">
        <v>0</v>
      </c>
      <c r="N40" s="101">
        <f t="shared" si="26"/>
        <v>0</v>
      </c>
      <c r="O40" s="118">
        <f t="shared" si="7"/>
        <v>0</v>
      </c>
      <c r="P40" s="119">
        <f t="shared" si="8"/>
        <v>0</v>
      </c>
      <c r="Q40" s="115">
        <f>R40</f>
        <v>6000</v>
      </c>
      <c r="R40" s="116">
        <v>6000</v>
      </c>
    </row>
    <row r="41" spans="1:18" ht="19.5" thickBot="1" x14ac:dyDescent="0.3">
      <c r="A41" s="47">
        <v>27</v>
      </c>
      <c r="B41" s="238" t="s">
        <v>40</v>
      </c>
      <c r="C41" s="136"/>
      <c r="D41" s="50">
        <f t="shared" si="0"/>
        <v>22500</v>
      </c>
      <c r="E41" s="51">
        <f t="shared" si="1"/>
        <v>0</v>
      </c>
      <c r="F41" s="52">
        <f t="shared" si="2"/>
        <v>0</v>
      </c>
      <c r="G41" s="149">
        <v>0</v>
      </c>
      <c r="H41" s="121">
        <v>22500</v>
      </c>
      <c r="I41" s="55">
        <f t="shared" si="25"/>
        <v>3000</v>
      </c>
      <c r="J41" s="56">
        <f t="shared" si="4"/>
        <v>0</v>
      </c>
      <c r="K41" s="57">
        <f t="shared" si="5"/>
        <v>0</v>
      </c>
      <c r="L41" s="65">
        <v>0</v>
      </c>
      <c r="M41" s="58">
        <v>3000</v>
      </c>
      <c r="N41" s="59">
        <f t="shared" si="26"/>
        <v>7500</v>
      </c>
      <c r="O41" s="60">
        <f t="shared" si="7"/>
        <v>0</v>
      </c>
      <c r="P41" s="61">
        <f t="shared" si="8"/>
        <v>0</v>
      </c>
      <c r="Q41" s="66">
        <v>0</v>
      </c>
      <c r="R41" s="63">
        <f>7500</f>
        <v>7500</v>
      </c>
    </row>
    <row r="42" spans="1:18" ht="19.5" thickBot="1" x14ac:dyDescent="0.3">
      <c r="A42" s="47">
        <v>28</v>
      </c>
      <c r="B42" s="238" t="s">
        <v>41</v>
      </c>
      <c r="C42" s="136" t="s">
        <v>9</v>
      </c>
      <c r="D42" s="50">
        <f t="shared" si="0"/>
        <v>0</v>
      </c>
      <c r="E42" s="51">
        <f t="shared" si="1"/>
        <v>0</v>
      </c>
      <c r="F42" s="52">
        <f t="shared" si="2"/>
        <v>0</v>
      </c>
      <c r="G42" s="149">
        <f>H42</f>
        <v>4800</v>
      </c>
      <c r="H42" s="121">
        <v>4800</v>
      </c>
      <c r="I42" s="55">
        <f t="shared" si="25"/>
        <v>0</v>
      </c>
      <c r="J42" s="56">
        <f t="shared" si="4"/>
        <v>0</v>
      </c>
      <c r="K42" s="57">
        <f t="shared" si="5"/>
        <v>0</v>
      </c>
      <c r="L42" s="65">
        <f>M42</f>
        <v>0</v>
      </c>
      <c r="M42" s="58">
        <v>0</v>
      </c>
      <c r="N42" s="59">
        <f t="shared" si="26"/>
        <v>0</v>
      </c>
      <c r="O42" s="60">
        <f t="shared" si="7"/>
        <v>0</v>
      </c>
      <c r="P42" s="61">
        <f t="shared" si="8"/>
        <v>0</v>
      </c>
      <c r="Q42" s="66">
        <f>R42</f>
        <v>0</v>
      </c>
      <c r="R42" s="63">
        <v>0</v>
      </c>
    </row>
    <row r="43" spans="1:18" ht="19.5" thickBot="1" x14ac:dyDescent="0.3">
      <c r="A43" s="138">
        <v>29</v>
      </c>
      <c r="B43" s="236" t="s">
        <v>42</v>
      </c>
      <c r="C43" s="139" t="s">
        <v>30</v>
      </c>
      <c r="D43" s="140">
        <f t="shared" si="0"/>
        <v>0</v>
      </c>
      <c r="E43" s="141">
        <f t="shared" si="1"/>
        <v>0</v>
      </c>
      <c r="F43" s="142">
        <f t="shared" si="2"/>
        <v>0</v>
      </c>
      <c r="G43" s="143">
        <f>H43</f>
        <v>133220</v>
      </c>
      <c r="H43" s="144">
        <v>133220</v>
      </c>
      <c r="I43" s="145">
        <f t="shared" si="25"/>
        <v>0</v>
      </c>
      <c r="J43" s="141">
        <f t="shared" si="4"/>
        <v>0</v>
      </c>
      <c r="K43" s="142">
        <f t="shared" si="5"/>
        <v>0</v>
      </c>
      <c r="L43" s="143">
        <f>M43</f>
        <v>0</v>
      </c>
      <c r="M43" s="146">
        <v>0</v>
      </c>
      <c r="N43" s="147">
        <f t="shared" si="26"/>
        <v>0</v>
      </c>
      <c r="O43" s="141">
        <f t="shared" si="7"/>
        <v>0</v>
      </c>
      <c r="P43" s="142">
        <f t="shared" si="8"/>
        <v>0</v>
      </c>
      <c r="Q43" s="143">
        <f>R43</f>
        <v>35871.86</v>
      </c>
      <c r="R43" s="148">
        <f>133220-97348.14</f>
        <v>35871.86</v>
      </c>
    </row>
    <row r="44" spans="1:18" ht="19.5" thickBot="1" x14ac:dyDescent="0.3">
      <c r="A44" s="138">
        <v>30</v>
      </c>
      <c r="B44" s="236" t="s">
        <v>43</v>
      </c>
      <c r="C44" s="139" t="s">
        <v>30</v>
      </c>
      <c r="D44" s="140">
        <f t="shared" si="0"/>
        <v>0</v>
      </c>
      <c r="E44" s="141">
        <f t="shared" si="1"/>
        <v>0</v>
      </c>
      <c r="F44" s="142">
        <f t="shared" si="2"/>
        <v>0</v>
      </c>
      <c r="G44" s="143">
        <f>H44</f>
        <v>8497.94</v>
      </c>
      <c r="H44" s="144">
        <v>8497.94</v>
      </c>
      <c r="I44" s="145">
        <f t="shared" si="25"/>
        <v>0</v>
      </c>
      <c r="J44" s="141">
        <f t="shared" si="4"/>
        <v>0</v>
      </c>
      <c r="K44" s="142">
        <f t="shared" si="5"/>
        <v>0</v>
      </c>
      <c r="L44" s="143">
        <f>M44</f>
        <v>0</v>
      </c>
      <c r="M44" s="146">
        <v>0</v>
      </c>
      <c r="N44" s="159">
        <f t="shared" si="26"/>
        <v>0</v>
      </c>
      <c r="O44" s="160">
        <f t="shared" si="7"/>
        <v>0</v>
      </c>
      <c r="P44" s="161">
        <f t="shared" si="8"/>
        <v>0</v>
      </c>
      <c r="Q44" s="162">
        <f>R44</f>
        <v>8497.94</v>
      </c>
      <c r="R44" s="163">
        <f>8497.94</f>
        <v>8497.94</v>
      </c>
    </row>
    <row r="45" spans="1:18" x14ac:dyDescent="0.25">
      <c r="A45" s="1"/>
      <c r="B45" s="164" t="s">
        <v>44</v>
      </c>
      <c r="C45" s="165"/>
      <c r="D45" s="166">
        <f t="shared" si="0"/>
        <v>0</v>
      </c>
      <c r="E45" s="167">
        <f t="shared" si="1"/>
        <v>0</v>
      </c>
      <c r="F45" s="168">
        <f t="shared" si="2"/>
        <v>0</v>
      </c>
      <c r="G45" s="169">
        <f>H45</f>
        <v>718326.38</v>
      </c>
      <c r="H45" s="170">
        <v>718326.38</v>
      </c>
      <c r="I45" s="171">
        <f t="shared" si="25"/>
        <v>0</v>
      </c>
      <c r="J45" s="172">
        <f t="shared" si="4"/>
        <v>0</v>
      </c>
      <c r="K45" s="173">
        <f t="shared" si="5"/>
        <v>0</v>
      </c>
      <c r="L45" s="171">
        <f>M45</f>
        <v>122742.05</v>
      </c>
      <c r="M45" s="171">
        <v>122742.05</v>
      </c>
      <c r="N45" s="174">
        <f t="shared" si="26"/>
        <v>0</v>
      </c>
      <c r="O45" s="175">
        <v>210585.7</v>
      </c>
      <c r="P45" s="175">
        <v>12355.58</v>
      </c>
      <c r="Q45" s="175">
        <f>R45</f>
        <v>222941.28</v>
      </c>
      <c r="R45" s="176">
        <v>222941.28</v>
      </c>
    </row>
    <row r="46" spans="1:18" x14ac:dyDescent="0.25">
      <c r="A46" s="15"/>
      <c r="B46" s="177" t="s">
        <v>45</v>
      </c>
      <c r="C46" s="178"/>
      <c r="D46" s="179">
        <f>SUM(D5:D44)</f>
        <v>791173.5</v>
      </c>
      <c r="E46" s="180">
        <f t="shared" ref="E46" si="27">SUM(E5:E44)</f>
        <v>0</v>
      </c>
      <c r="F46" s="181">
        <f>SUM(F5:F44)</f>
        <v>0</v>
      </c>
      <c r="G46" s="182">
        <f>SUM(G5:G44)</f>
        <v>6392090.3300000001</v>
      </c>
      <c r="H46" s="183">
        <f>SUM(H5:H44)</f>
        <v>7183263.8300000001</v>
      </c>
      <c r="I46" s="184">
        <f>SUM(I5:I44)</f>
        <v>66755.5</v>
      </c>
      <c r="J46" s="185">
        <f t="shared" ref="J46:L46" si="28">SUM(J5:J44)</f>
        <v>2497.96</v>
      </c>
      <c r="K46" s="186">
        <f t="shared" si="28"/>
        <v>146.57</v>
      </c>
      <c r="L46" s="184">
        <f t="shared" si="28"/>
        <v>305100.55999999994</v>
      </c>
      <c r="M46" s="184">
        <f>SUM(M5:M44)</f>
        <v>371856.05999999994</v>
      </c>
      <c r="N46" s="187">
        <f>SUM(N5:N44)</f>
        <v>185643.211251</v>
      </c>
      <c r="O46" s="188">
        <f>SUM(O5:O44)</f>
        <v>237771.48</v>
      </c>
      <c r="P46" s="189">
        <f t="shared" ref="P46" si="29">SUM(P5:P44)</f>
        <v>13950.54</v>
      </c>
      <c r="Q46" s="190">
        <f>SUM(Q5:Q44)</f>
        <v>1493788.478749</v>
      </c>
      <c r="R46" s="191">
        <f>SUM(R5:R44)</f>
        <v>1679265.7099999997</v>
      </c>
    </row>
    <row r="47" spans="1:18" x14ac:dyDescent="0.25">
      <c r="A47" s="15"/>
      <c r="B47" s="192" t="s">
        <v>46</v>
      </c>
      <c r="C47" s="178"/>
      <c r="D47" s="193">
        <f>SUM(D5:D46)</f>
        <v>1582347</v>
      </c>
      <c r="E47" s="194">
        <f t="shared" ref="E47:L47" si="30">SUM(E5:E45)</f>
        <v>0</v>
      </c>
      <c r="F47" s="195">
        <f>SUM(F5:F45)</f>
        <v>0</v>
      </c>
      <c r="G47" s="196">
        <f>SUM(G5:G45)</f>
        <v>7110416.71</v>
      </c>
      <c r="H47" s="197">
        <f>SUM(H5:H45)</f>
        <v>7901590.21</v>
      </c>
      <c r="I47" s="198">
        <f t="shared" si="30"/>
        <v>66755.5</v>
      </c>
      <c r="J47" s="199">
        <f t="shared" si="30"/>
        <v>2497.96</v>
      </c>
      <c r="K47" s="200">
        <f t="shared" si="30"/>
        <v>146.57</v>
      </c>
      <c r="L47" s="198">
        <f t="shared" si="30"/>
        <v>427842.60999999993</v>
      </c>
      <c r="M47" s="198">
        <f>SUM(M5:M45)</f>
        <v>494598.10999999993</v>
      </c>
      <c r="N47" s="201">
        <f>SUM(N5:N45)</f>
        <v>185643.211251</v>
      </c>
      <c r="O47" s="202">
        <f>SUM(O5:O45)-0.01</f>
        <v>448357.17000000004</v>
      </c>
      <c r="P47" s="203">
        <f>SUM(P5:P45)</f>
        <v>26306.120000000003</v>
      </c>
      <c r="Q47" s="204">
        <f>SUM(Q5:Q45)</f>
        <v>1716729.758749</v>
      </c>
      <c r="R47" s="205">
        <f>SUM(R5:R45)</f>
        <v>1902206.9899999998</v>
      </c>
    </row>
    <row r="48" spans="1:18" ht="15.75" thickBot="1" x14ac:dyDescent="0.3">
      <c r="A48" s="35"/>
      <c r="B48" s="206"/>
      <c r="C48" s="207"/>
      <c r="D48" s="208"/>
      <c r="E48" s="209"/>
      <c r="F48" s="210"/>
      <c r="G48" s="211"/>
      <c r="H48" s="212"/>
      <c r="I48" s="213"/>
      <c r="J48" s="214"/>
      <c r="K48" s="215"/>
      <c r="L48" s="213"/>
      <c r="M48" s="213"/>
      <c r="N48" s="216"/>
      <c r="O48" s="217"/>
      <c r="P48" s="218"/>
      <c r="Q48" s="219"/>
      <c r="R48" s="220"/>
    </row>
    <row r="49" spans="1:18" x14ac:dyDescent="0.25">
      <c r="A49" s="16"/>
      <c r="B49" s="221"/>
      <c r="C49" s="222" t="s">
        <v>47</v>
      </c>
      <c r="D49" s="223">
        <f t="shared" ref="D49:L49" si="31">D28+D29+D30+D31+D32+D43+D44</f>
        <v>54450</v>
      </c>
      <c r="E49" s="224">
        <f t="shared" si="31"/>
        <v>0</v>
      </c>
      <c r="F49" s="224">
        <f t="shared" si="31"/>
        <v>0</v>
      </c>
      <c r="G49" s="224">
        <f>G28+G29+G30+G31+G32+G43+G44</f>
        <v>1780837.03</v>
      </c>
      <c r="H49" s="225">
        <f t="shared" si="31"/>
        <v>1835287.03</v>
      </c>
      <c r="I49" s="226">
        <f t="shared" si="31"/>
        <v>0</v>
      </c>
      <c r="J49" s="226">
        <f>J28+J29+J30+J31+J32+J43+J44</f>
        <v>0</v>
      </c>
      <c r="K49" s="226">
        <f>K28+K29+K30+K31+K32+K43+K44</f>
        <v>0</v>
      </c>
      <c r="L49" s="226">
        <f t="shared" si="31"/>
        <v>222455.05</v>
      </c>
      <c r="M49" s="226">
        <f>M28+M29+M30+M31+M32+M43+M44</f>
        <v>222455.05</v>
      </c>
      <c r="N49" s="227">
        <f>N28+N29+N30+N31+N32+N43+N44</f>
        <v>8364</v>
      </c>
      <c r="O49" s="227">
        <f>O44+O43+O32+O31+O30+O29+O28</f>
        <v>237928.16</v>
      </c>
      <c r="P49" s="227">
        <f>P28+P29+P30+P31+P32+P43+P44</f>
        <v>13959.84</v>
      </c>
      <c r="Q49" s="227">
        <f t="shared" ref="Q49" si="32">Q28+Q29+Q30+Q31+Q32+Q43+Q44</f>
        <v>744389.42999999993</v>
      </c>
      <c r="R49" s="227">
        <f>R28+R29+R30+R31+R32+R43+R44</f>
        <v>752753.42999999993</v>
      </c>
    </row>
    <row r="50" spans="1:18" ht="15.75" thickBot="1" x14ac:dyDescent="0.3">
      <c r="A50" s="16"/>
      <c r="B50" s="221"/>
      <c r="C50" s="222" t="s">
        <v>48</v>
      </c>
      <c r="D50" s="228">
        <f>D5+D6+D7+D8+D9+D10+D11+D12+D13+D14+D15+D16+D17+D18+D19+D20+D21+D22+D23+D24+D25+D26+D27+D33+D34+D35+D36+D37+D38+D39+D40+D41+D42+D45</f>
        <v>736723.5</v>
      </c>
      <c r="E50" s="229">
        <f t="shared" ref="E50:H50" si="33">E5+E6+E7+E8+E9+E10+E11+E12+E13+E14+E15+E16+E17+E18+E19+E20+E21+E22+E23+E24+E25+E26+E27+E33+E34+E35+E36+E37+E38+E39+E40+E41+E42+E45</f>
        <v>0</v>
      </c>
      <c r="F50" s="229">
        <f t="shared" si="33"/>
        <v>0</v>
      </c>
      <c r="G50" s="229">
        <f t="shared" si="33"/>
        <v>5329579.68</v>
      </c>
      <c r="H50" s="230">
        <f t="shared" si="33"/>
        <v>6066303.1799999997</v>
      </c>
      <c r="I50" s="226">
        <f>I5+I6+I7+I8+I9+I10+I11+I12+I13+I14+I15+I16+I17+I18+I19+I20+I21+I22+I23+I24+I25+I26+I27+I33+I34+I35+I36+I37+I38+I39+I40+I41+I42+I45</f>
        <v>66755.5</v>
      </c>
      <c r="J50" s="226">
        <f>J5+J6+J7+J8+J9+J10+J11+J12+J13+J14+J15+J16+J17+J18+J19+J20+J21+J22+J23+J24+J25+J26+J27+J33+J34+J35+J36+J37+J38+J39+J40+J41+J42+J45</f>
        <v>2497.96</v>
      </c>
      <c r="K50" s="226">
        <f>K5+K6+K7+K8+K9+K10+K11+K12+K13+K14+K15+K16+K17+K18+K19+K20+K21+K22+K23+K24+K25+K26+K27+K33+K34+K35+K36+K37+K38+K39+K40+K41+K42+K45</f>
        <v>146.57</v>
      </c>
      <c r="L50" s="226">
        <f>L5+L6+L7+L8+L9+L10+L11+L12+L13+L14+L15+L16+L17+L18+L19+L20+L21+L22+L23+L24+L25+L26+L27+L33+L34+L35+L36+L37+L38+L39+L40+L41+L42+L45</f>
        <v>205387.56</v>
      </c>
      <c r="M50" s="226">
        <f>M5+M6+M7+M8+M9+M10+M11+M12+M13+M14+M15+M16+M17+M18+M19+M20+M21+M22+M23+M24+M25+M26+M27+M33+M34+M35+M36+M37+M38+M39+M40+M41+M42+M45</f>
        <v>272143.06</v>
      </c>
      <c r="N50" s="227">
        <f>N45+N42+N41+N40+N39+N38+N37+N36+N35+N34+N33+N27+N26+N25+N24+N22+N23+N21+N20+N19+N18+N17+N16+N15+N14+N13+N12+N11+N10+N9+N8+N7+N6+N5</f>
        <v>177279.211251</v>
      </c>
      <c r="O50" s="227">
        <f>O5+O6+O7+O8+O9+O10+O11+O12+O13+O14+O15+O16+O17+O18+O19+O20+O21+O22+O23+O24+O25+O26+O27+O33+O34+O35+O36+O37+O38+O39+O40+O41+O42+O45</f>
        <v>210429.02000000002</v>
      </c>
      <c r="P50" s="227">
        <f>P5+P6+P7+P8+P9+P10+P11+P12+P13+P14+P15+P16+P17+P18+P19+P20+P21+P22+P23+P24+P25+P26+P27+P33+P34+P35+P36+P37+P38+P39+P40+P41+P42+P45</f>
        <v>12346.28</v>
      </c>
      <c r="Q50" s="227">
        <f>Q5+Q6+Q7+Q8+Q9+Q10+Q11+Q12+Q13+Q14+Q15+Q16+Q17+Q18+Q19+Q20+Q21+Q22+Q23+Q24+Q25+Q26+Q27+Q33+Q34+Q35+Q36+Q37+Q38+Q39+Q40+Q41+Q42+Q45</f>
        <v>972340.32874899998</v>
      </c>
      <c r="R50" s="227">
        <f>R5+R6+R7+R8+R9+R10+R11+R12+R13+R14+R15+R16+R17+R18+R19+R20+R21+R22+R23+R24+R25+R26+R27+R33+R34+R35+R36+R37+R38+R39+R40+R41+R42+R45</f>
        <v>1149453.56</v>
      </c>
    </row>
    <row r="51" spans="1:18" ht="15.75" thickTop="1" x14ac:dyDescent="0.25">
      <c r="A51" s="16"/>
      <c r="B51" s="221"/>
      <c r="C51" s="222"/>
      <c r="D51" s="224"/>
      <c r="E51" s="224"/>
      <c r="F51" s="224"/>
      <c r="G51" s="224"/>
      <c r="H51" s="224"/>
      <c r="I51" s="226"/>
      <c r="J51" s="226"/>
      <c r="K51" s="226"/>
      <c r="L51" s="226"/>
      <c r="M51" s="226"/>
      <c r="N51" s="227"/>
      <c r="O51" s="227"/>
      <c r="P51" s="227"/>
      <c r="Q51" s="227"/>
      <c r="R51" s="227"/>
    </row>
  </sheetData>
  <mergeCells count="5">
    <mergeCell ref="R1:R4"/>
    <mergeCell ref="B12:B13"/>
    <mergeCell ref="B16:B17"/>
    <mergeCell ref="B18:B19"/>
    <mergeCell ref="B35:B36"/>
  </mergeCells>
  <pageMargins left="0.25" right="0.25" top="0.75" bottom="0.75" header="0.3" footer="0.3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2022-02-07T13:27:34Z</dcterms:modified>
</cp:coreProperties>
</file>